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win10\Desktop\ฟามรู้\"/>
    </mc:Choice>
  </mc:AlternateContent>
  <xr:revisionPtr revIDLastSave="0" documentId="13_ncr:2001_{C2D2223E-212A-4E69-9F9D-BE152A52AB0D}" xr6:coauthVersionLast="47" xr6:coauthVersionMax="47" xr10:uidLastSave="{00000000-0000-0000-0000-000000000000}"/>
  <bookViews>
    <workbookView xWindow="-120" yWindow="-120" windowWidth="28110" windowHeight="16440" activeTab="16" xr2:uid="{91CCEB49-C7E7-44F0-8463-57E1CD076D06}"/>
  </bookViews>
  <sheets>
    <sheet name="DATA" sheetId="6" r:id="rId1"/>
    <sheet name="1" sheetId="2" r:id="rId2"/>
    <sheet name="2" sheetId="3" r:id="rId3"/>
    <sheet name="3" sheetId="4" r:id="rId4"/>
    <sheet name="4" sheetId="5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  <sheet name="GRAPH" sheetId="18" r:id="rId17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8" i="18" l="1"/>
  <c r="C137" i="18"/>
  <c r="C136" i="18"/>
  <c r="C135" i="18"/>
  <c r="F129" i="18"/>
  <c r="E129" i="18"/>
  <c r="D129" i="18"/>
  <c r="F128" i="18"/>
  <c r="E128" i="18"/>
  <c r="F127" i="18"/>
  <c r="E127" i="18"/>
  <c r="E120" i="18"/>
  <c r="D120" i="18"/>
  <c r="B109" i="18"/>
  <c r="B108" i="18"/>
  <c r="B107" i="18"/>
  <c r="B106" i="18"/>
  <c r="B105" i="18"/>
  <c r="B104" i="18"/>
  <c r="B103" i="18"/>
  <c r="B102" i="18"/>
  <c r="B101" i="18"/>
  <c r="B100" i="18"/>
  <c r="B99" i="18"/>
  <c r="B98" i="18"/>
  <c r="B97" i="18"/>
  <c r="B96" i="18"/>
  <c r="B95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O97" i="18"/>
  <c r="O98" i="18"/>
  <c r="O99" i="18"/>
  <c r="O100" i="18"/>
  <c r="O101" i="18"/>
  <c r="O102" i="18"/>
  <c r="O103" i="18"/>
  <c r="O104" i="18"/>
  <c r="O105" i="18"/>
  <c r="O106" i="18"/>
  <c r="O107" i="18"/>
  <c r="O108" i="18"/>
  <c r="O109" i="18"/>
  <c r="O96" i="18"/>
  <c r="B78" i="18"/>
  <c r="B77" i="18"/>
  <c r="B109" i="17"/>
  <c r="B108" i="17"/>
  <c r="B107" i="17"/>
  <c r="B109" i="16"/>
  <c r="B108" i="16"/>
  <c r="B107" i="16"/>
  <c r="B109" i="15"/>
  <c r="B108" i="15"/>
  <c r="B107" i="15"/>
  <c r="B108" i="14"/>
  <c r="B107" i="14"/>
  <c r="B108" i="13"/>
  <c r="B107" i="13"/>
  <c r="B108" i="12"/>
  <c r="B107" i="12"/>
  <c r="B108" i="8"/>
  <c r="B107" i="8"/>
  <c r="A90" i="8"/>
  <c r="G42" i="17"/>
  <c r="G41" i="17"/>
  <c r="G41" i="16"/>
  <c r="G40" i="17"/>
  <c r="G40" i="16"/>
  <c r="G40" i="15"/>
  <c r="G39" i="17"/>
  <c r="G39" i="16"/>
  <c r="G39" i="15"/>
  <c r="G39" i="14"/>
  <c r="G38" i="17"/>
  <c r="G38" i="16"/>
  <c r="G38" i="15"/>
  <c r="G38" i="14"/>
  <c r="G38" i="13"/>
  <c r="G37" i="16"/>
  <c r="G37" i="17"/>
  <c r="G37" i="15"/>
  <c r="G37" i="14"/>
  <c r="G37" i="13"/>
  <c r="G37" i="12"/>
  <c r="G36" i="17"/>
  <c r="G36" i="16"/>
  <c r="G36" i="15"/>
  <c r="G36" i="14"/>
  <c r="G36" i="13"/>
  <c r="G36" i="12"/>
  <c r="G36" i="11"/>
  <c r="G35" i="17"/>
  <c r="G35" i="16"/>
  <c r="G35" i="15"/>
  <c r="G35" i="14"/>
  <c r="G35" i="13"/>
  <c r="G35" i="12"/>
  <c r="G35" i="11"/>
  <c r="G35" i="10"/>
  <c r="G34" i="17"/>
  <c r="G34" i="16"/>
  <c r="G34" i="15"/>
  <c r="G34" i="14"/>
  <c r="G34" i="13"/>
  <c r="G34" i="12"/>
  <c r="G34" i="11"/>
  <c r="G34" i="10"/>
  <c r="G34" i="9"/>
  <c r="G33" i="17"/>
  <c r="G33" i="16"/>
  <c r="G33" i="15"/>
  <c r="G33" i="14"/>
  <c r="G33" i="13"/>
  <c r="G33" i="12"/>
  <c r="G33" i="11"/>
  <c r="G33" i="10"/>
  <c r="G33" i="9"/>
  <c r="G33" i="8"/>
  <c r="G32" i="17"/>
  <c r="G32" i="16"/>
  <c r="G32" i="15"/>
  <c r="G32" i="14"/>
  <c r="G32" i="13"/>
  <c r="G32" i="12"/>
  <c r="G32" i="11"/>
  <c r="G32" i="10"/>
  <c r="G32" i="9"/>
  <c r="G32" i="8"/>
  <c r="G32" i="7"/>
  <c r="G31" i="17"/>
  <c r="G31" i="16"/>
  <c r="G31" i="15"/>
  <c r="G31" i="14"/>
  <c r="G31" i="13"/>
  <c r="G31" i="12"/>
  <c r="G31" i="11"/>
  <c r="G31" i="10"/>
  <c r="G31" i="9"/>
  <c r="G31" i="8"/>
  <c r="G31" i="7"/>
  <c r="G31" i="5"/>
  <c r="G30" i="17"/>
  <c r="G30" i="16"/>
  <c r="G30" i="15"/>
  <c r="G30" i="14"/>
  <c r="G30" i="13"/>
  <c r="G30" i="12"/>
  <c r="G30" i="11"/>
  <c r="G30" i="10"/>
  <c r="G30" i="9"/>
  <c r="G30" i="8"/>
  <c r="G30" i="7"/>
  <c r="G30" i="5"/>
  <c r="G30" i="4"/>
  <c r="G29" i="17"/>
  <c r="G29" i="16"/>
  <c r="G29" i="15"/>
  <c r="G29" i="14"/>
  <c r="G29" i="13"/>
  <c r="G29" i="12"/>
  <c r="G29" i="11"/>
  <c r="G29" i="10"/>
  <c r="G29" i="9"/>
  <c r="G29" i="8"/>
  <c r="G29" i="7"/>
  <c r="G29" i="5"/>
  <c r="G29" i="4"/>
  <c r="G29" i="3"/>
  <c r="N142" i="6"/>
  <c r="M142" i="6"/>
  <c r="M139" i="6"/>
  <c r="M138" i="6"/>
  <c r="N135" i="6"/>
  <c r="O135" i="6" s="1"/>
  <c r="M164" i="6" s="1"/>
  <c r="M134" i="6"/>
  <c r="M135" i="6"/>
  <c r="M133" i="6"/>
  <c r="L162" i="6"/>
  <c r="L163" i="6"/>
  <c r="L164" i="6"/>
  <c r="L161" i="6"/>
  <c r="K161" i="6"/>
  <c r="K162" i="6"/>
  <c r="K163" i="6"/>
  <c r="K164" i="6"/>
  <c r="K160" i="6"/>
  <c r="J160" i="6"/>
  <c r="J161" i="6"/>
  <c r="J162" i="6"/>
  <c r="J163" i="6"/>
  <c r="J164" i="6"/>
  <c r="J159" i="6"/>
  <c r="I159" i="6"/>
  <c r="I160" i="6"/>
  <c r="I161" i="6"/>
  <c r="I162" i="6"/>
  <c r="I163" i="6"/>
  <c r="I164" i="6"/>
  <c r="I158" i="6"/>
  <c r="H158" i="6"/>
  <c r="H159" i="6"/>
  <c r="H160" i="6"/>
  <c r="H161" i="6"/>
  <c r="H162" i="6"/>
  <c r="H163" i="6"/>
  <c r="H164" i="6"/>
  <c r="H157" i="6"/>
  <c r="G157" i="6"/>
  <c r="G158" i="6"/>
  <c r="G159" i="6"/>
  <c r="G160" i="6"/>
  <c r="G161" i="6"/>
  <c r="G162" i="6"/>
  <c r="G163" i="6"/>
  <c r="G164" i="6"/>
  <c r="G156" i="6"/>
  <c r="E155" i="6"/>
  <c r="E156" i="6"/>
  <c r="E157" i="6"/>
  <c r="E158" i="6"/>
  <c r="E159" i="6"/>
  <c r="E160" i="6"/>
  <c r="E161" i="6"/>
  <c r="E162" i="6"/>
  <c r="E163" i="6"/>
  <c r="E164" i="6"/>
  <c r="E154" i="6"/>
  <c r="D153" i="6"/>
  <c r="F145" i="6"/>
  <c r="N139" i="6" s="1"/>
  <c r="O139" i="6" s="1"/>
  <c r="N164" i="6" s="1"/>
  <c r="D146" i="6"/>
  <c r="O142" i="6" s="1"/>
  <c r="D154" i="6"/>
  <c r="D155" i="6"/>
  <c r="D156" i="6"/>
  <c r="D157" i="6"/>
  <c r="D158" i="6"/>
  <c r="D159" i="6"/>
  <c r="D160" i="6"/>
  <c r="D161" i="6"/>
  <c r="D162" i="6"/>
  <c r="D163" i="6"/>
  <c r="D164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52" i="6"/>
  <c r="E141" i="6"/>
  <c r="E142" i="6"/>
  <c r="E143" i="6"/>
  <c r="F144" i="6"/>
  <c r="N133" i="6" s="1"/>
  <c r="O133" i="6" s="1"/>
  <c r="M162" i="6" s="1"/>
  <c r="F132" i="6"/>
  <c r="B143" i="6"/>
  <c r="I134" i="6"/>
  <c r="I135" i="6"/>
  <c r="I136" i="6"/>
  <c r="I137" i="6"/>
  <c r="I138" i="6"/>
  <c r="I139" i="6"/>
  <c r="I140" i="6"/>
  <c r="I141" i="6"/>
  <c r="I142" i="6"/>
  <c r="I133" i="6"/>
  <c r="D132" i="6"/>
  <c r="E132" i="6"/>
  <c r="B142" i="6"/>
  <c r="B141" i="6"/>
  <c r="B140" i="6"/>
  <c r="B139" i="6"/>
  <c r="B138" i="6"/>
  <c r="B136" i="6"/>
  <c r="B135" i="6"/>
  <c r="B133" i="6"/>
  <c r="B134" i="6"/>
  <c r="E112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14" i="6"/>
  <c r="C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14" i="6"/>
  <c r="E113" i="6"/>
  <c r="D113" i="6"/>
  <c r="C113" i="6"/>
  <c r="B113" i="6"/>
  <c r="D112" i="6"/>
  <c r="C112" i="6"/>
  <c r="B112" i="6"/>
  <c r="D108" i="6"/>
  <c r="D109" i="6"/>
  <c r="D110" i="6"/>
  <c r="D107" i="6"/>
  <c r="B107" i="11"/>
  <c r="B107" i="10"/>
  <c r="B107" i="9"/>
  <c r="B107" i="7"/>
  <c r="B107" i="5"/>
  <c r="B107" i="4"/>
  <c r="B107" i="3"/>
  <c r="B107" i="2"/>
  <c r="C23" i="17"/>
  <c r="C23" i="16"/>
  <c r="C23" i="15"/>
  <c r="C23" i="14"/>
  <c r="C23" i="13"/>
  <c r="C23" i="12"/>
  <c r="C23" i="11"/>
  <c r="C23" i="10"/>
  <c r="C23" i="9"/>
  <c r="C23" i="8"/>
  <c r="C23" i="7"/>
  <c r="C23" i="5"/>
  <c r="B15" i="17"/>
  <c r="B15" i="16"/>
  <c r="C15" i="16" s="1"/>
  <c r="B15" i="15"/>
  <c r="C15" i="15" s="1"/>
  <c r="B15" i="14"/>
  <c r="C15" i="14" s="1"/>
  <c r="B15" i="13"/>
  <c r="C15" i="13" s="1"/>
  <c r="B15" i="12"/>
  <c r="C15" i="12" s="1"/>
  <c r="B15" i="11"/>
  <c r="C15" i="11" s="1"/>
  <c r="B15" i="10"/>
  <c r="C15" i="10" s="1"/>
  <c r="B15" i="9"/>
  <c r="C15" i="9" s="1"/>
  <c r="B15" i="8"/>
  <c r="C15" i="8" s="1"/>
  <c r="B15" i="7"/>
  <c r="B15" i="5"/>
  <c r="B15" i="4"/>
  <c r="B15" i="3"/>
  <c r="L11" i="17"/>
  <c r="L4" i="17"/>
  <c r="C16" i="17" s="1"/>
  <c r="B16" i="17" s="1"/>
  <c r="I30" i="17"/>
  <c r="I29" i="17"/>
  <c r="C22" i="17"/>
  <c r="H21" i="17"/>
  <c r="C21" i="17"/>
  <c r="C20" i="17"/>
  <c r="C19" i="17"/>
  <c r="C17" i="17"/>
  <c r="B17" i="17" s="1"/>
  <c r="C15" i="17"/>
  <c r="C13" i="17"/>
  <c r="C12" i="17"/>
  <c r="C11" i="17"/>
  <c r="C10" i="17"/>
  <c r="L6" i="17"/>
  <c r="C18" i="17" s="1"/>
  <c r="B18" i="17" s="1"/>
  <c r="L11" i="16"/>
  <c r="L4" i="16"/>
  <c r="L11" i="15"/>
  <c r="L5" i="15"/>
  <c r="C17" i="15" s="1"/>
  <c r="B17" i="15" s="1"/>
  <c r="I30" i="16"/>
  <c r="I29" i="16"/>
  <c r="C22" i="16"/>
  <c r="H21" i="16"/>
  <c r="C21" i="16"/>
  <c r="C20" i="16"/>
  <c r="C19" i="16"/>
  <c r="C13" i="16"/>
  <c r="C12" i="16"/>
  <c r="C11" i="16"/>
  <c r="C10" i="16"/>
  <c r="L6" i="16"/>
  <c r="C18" i="16" s="1"/>
  <c r="B18" i="16" s="1"/>
  <c r="L4" i="15"/>
  <c r="I30" i="15"/>
  <c r="I29" i="15"/>
  <c r="C22" i="15"/>
  <c r="H21" i="15"/>
  <c r="C21" i="15"/>
  <c r="C20" i="15"/>
  <c r="C19" i="15"/>
  <c r="C13" i="15"/>
  <c r="C12" i="15"/>
  <c r="C11" i="15"/>
  <c r="C10" i="15"/>
  <c r="L6" i="15"/>
  <c r="C18" i="15" s="1"/>
  <c r="B18" i="15" s="1"/>
  <c r="L11" i="14"/>
  <c r="L4" i="14"/>
  <c r="C16" i="14" s="1"/>
  <c r="B16" i="14" s="1"/>
  <c r="I30" i="14"/>
  <c r="I29" i="14"/>
  <c r="C22" i="14"/>
  <c r="H21" i="14"/>
  <c r="C21" i="14"/>
  <c r="C20" i="14"/>
  <c r="C19" i="14"/>
  <c r="C13" i="14"/>
  <c r="C12" i="14"/>
  <c r="C11" i="14"/>
  <c r="C10" i="14"/>
  <c r="L6" i="14"/>
  <c r="C18" i="14" s="1"/>
  <c r="B18" i="14" s="1"/>
  <c r="L5" i="14"/>
  <c r="C17" i="14" s="1"/>
  <c r="B17" i="14" s="1"/>
  <c r="L11" i="13"/>
  <c r="L4" i="13"/>
  <c r="C16" i="13" s="1"/>
  <c r="B16" i="13" s="1"/>
  <c r="I30" i="13"/>
  <c r="I29" i="13"/>
  <c r="C22" i="13"/>
  <c r="H21" i="13"/>
  <c r="C21" i="13"/>
  <c r="C20" i="13"/>
  <c r="C19" i="13"/>
  <c r="C13" i="13"/>
  <c r="C12" i="13"/>
  <c r="C11" i="13"/>
  <c r="C10" i="13"/>
  <c r="L6" i="13"/>
  <c r="C18" i="13" s="1"/>
  <c r="B18" i="13" s="1"/>
  <c r="L5" i="13"/>
  <c r="C17" i="13" s="1"/>
  <c r="B17" i="13" s="1"/>
  <c r="L11" i="12"/>
  <c r="I23" i="12"/>
  <c r="L6" i="12"/>
  <c r="C18" i="12" s="1"/>
  <c r="B18" i="12" s="1"/>
  <c r="I30" i="12"/>
  <c r="F103" i="6"/>
  <c r="L4" i="12"/>
  <c r="C16" i="12" s="1"/>
  <c r="B16" i="12" s="1"/>
  <c r="I29" i="12"/>
  <c r="C22" i="12"/>
  <c r="H21" i="12"/>
  <c r="C21" i="12"/>
  <c r="C20" i="12"/>
  <c r="C19" i="12"/>
  <c r="C13" i="12"/>
  <c r="C12" i="12"/>
  <c r="C11" i="12"/>
  <c r="C10" i="12"/>
  <c r="L5" i="12"/>
  <c r="C17" i="12" s="1"/>
  <c r="B17" i="12" s="1"/>
  <c r="B2" i="17"/>
  <c r="C2" i="17"/>
  <c r="A2" i="17"/>
  <c r="B2" i="16"/>
  <c r="C2" i="16"/>
  <c r="A2" i="16"/>
  <c r="B2" i="15"/>
  <c r="C2" i="15"/>
  <c r="A2" i="15"/>
  <c r="B2" i="14"/>
  <c r="C2" i="14"/>
  <c r="A2" i="14"/>
  <c r="B2" i="13"/>
  <c r="C2" i="13"/>
  <c r="A2" i="13"/>
  <c r="F41" i="6"/>
  <c r="F42" i="6"/>
  <c r="F43" i="6"/>
  <c r="F44" i="6"/>
  <c r="F45" i="6"/>
  <c r="F40" i="6"/>
  <c r="E41" i="6"/>
  <c r="E42" i="6" s="1"/>
  <c r="E43" i="6" s="1"/>
  <c r="E44" i="6" s="1"/>
  <c r="E45" i="6" s="1"/>
  <c r="E40" i="6"/>
  <c r="L10" i="11"/>
  <c r="L4" i="11"/>
  <c r="C16" i="11" s="1"/>
  <c r="B16" i="11" s="1"/>
  <c r="I29" i="11"/>
  <c r="C22" i="11"/>
  <c r="H21" i="11"/>
  <c r="C21" i="11"/>
  <c r="C20" i="11"/>
  <c r="C19" i="11"/>
  <c r="C13" i="11"/>
  <c r="C12" i="11"/>
  <c r="C11" i="11"/>
  <c r="C10" i="11"/>
  <c r="L5" i="11"/>
  <c r="C17" i="11" s="1"/>
  <c r="B17" i="11" s="1"/>
  <c r="L10" i="10"/>
  <c r="L4" i="10"/>
  <c r="C16" i="10" s="1"/>
  <c r="B16" i="10" s="1"/>
  <c r="I29" i="10"/>
  <c r="C22" i="10"/>
  <c r="H21" i="10"/>
  <c r="C21" i="10"/>
  <c r="C20" i="10"/>
  <c r="C19" i="10"/>
  <c r="C13" i="10"/>
  <c r="C12" i="10"/>
  <c r="C11" i="10"/>
  <c r="C10" i="10"/>
  <c r="L5" i="10"/>
  <c r="C17" i="10" s="1"/>
  <c r="B17" i="10" s="1"/>
  <c r="I29" i="9"/>
  <c r="L5" i="9"/>
  <c r="L10" i="9"/>
  <c r="L4" i="9"/>
  <c r="C16" i="9" s="1"/>
  <c r="C22" i="9"/>
  <c r="H21" i="9"/>
  <c r="C21" i="9"/>
  <c r="C20" i="9"/>
  <c r="C19" i="9"/>
  <c r="C13" i="9"/>
  <c r="C12" i="9"/>
  <c r="C11" i="9"/>
  <c r="C10" i="9"/>
  <c r="L10" i="8"/>
  <c r="L13" i="8" s="1"/>
  <c r="L4" i="8"/>
  <c r="L7" i="8" s="1"/>
  <c r="B31" i="8" s="1"/>
  <c r="C22" i="8"/>
  <c r="H21" i="8"/>
  <c r="C21" i="8"/>
  <c r="C20" i="8"/>
  <c r="C19" i="8"/>
  <c r="C13" i="8"/>
  <c r="C12" i="8"/>
  <c r="C11" i="8"/>
  <c r="C10" i="8"/>
  <c r="F96" i="6"/>
  <c r="C96" i="6"/>
  <c r="C103" i="6"/>
  <c r="L11" i="9" s="1"/>
  <c r="L13" i="9" s="1"/>
  <c r="C101" i="6"/>
  <c r="F95" i="6"/>
  <c r="G92" i="6"/>
  <c r="F92" i="6" s="1"/>
  <c r="F99" i="6"/>
  <c r="F98" i="6"/>
  <c r="I95" i="6"/>
  <c r="C98" i="6"/>
  <c r="I23" i="9" s="1"/>
  <c r="O110" i="18" l="1"/>
  <c r="N134" i="6"/>
  <c r="O134" i="6" s="1"/>
  <c r="M163" i="6" s="1"/>
  <c r="N138" i="6"/>
  <c r="O138" i="6" s="1"/>
  <c r="N163" i="6" s="1"/>
  <c r="P142" i="6"/>
  <c r="O164" i="6" s="1"/>
  <c r="L8" i="16"/>
  <c r="L8" i="15"/>
  <c r="B60" i="15" s="1"/>
  <c r="C16" i="16"/>
  <c r="B16" i="16" s="1"/>
  <c r="L8" i="12"/>
  <c r="L8" i="13"/>
  <c r="B60" i="13" s="1"/>
  <c r="L8" i="14"/>
  <c r="B60" i="14" s="1"/>
  <c r="B66" i="14" s="1"/>
  <c r="L11" i="10"/>
  <c r="L11" i="11" s="1"/>
  <c r="L12" i="12" s="1"/>
  <c r="L7" i="9"/>
  <c r="L13" i="12"/>
  <c r="L13" i="13" s="1"/>
  <c r="L13" i="14" s="1"/>
  <c r="L13" i="15" s="1"/>
  <c r="L13" i="16" s="1"/>
  <c r="L13" i="17" s="1"/>
  <c r="L15" i="17" s="1"/>
  <c r="L8" i="17"/>
  <c r="B31" i="16"/>
  <c r="B60" i="16"/>
  <c r="C17" i="16"/>
  <c r="B17" i="16" s="1"/>
  <c r="B31" i="15"/>
  <c r="C16" i="15"/>
  <c r="B16" i="15" s="1"/>
  <c r="L7" i="11"/>
  <c r="L7" i="10"/>
  <c r="C17" i="9"/>
  <c r="B17" i="9" s="1"/>
  <c r="C99" i="6"/>
  <c r="L21" i="9"/>
  <c r="B48" i="9" s="1"/>
  <c r="B16" i="9"/>
  <c r="L21" i="8"/>
  <c r="B48" i="8" s="1"/>
  <c r="B60" i="8"/>
  <c r="C17" i="8"/>
  <c r="B17" i="8" s="1"/>
  <c r="B31" i="13" l="1"/>
  <c r="L15" i="15"/>
  <c r="L21" i="15" s="1"/>
  <c r="B48" i="15" s="1"/>
  <c r="B31" i="14"/>
  <c r="L15" i="12"/>
  <c r="L21" i="12" s="1"/>
  <c r="B48" i="12" s="1"/>
  <c r="L12" i="13"/>
  <c r="L12" i="14" s="1"/>
  <c r="L15" i="14" s="1"/>
  <c r="L21" i="14" s="1"/>
  <c r="B48" i="14" s="1"/>
  <c r="L13" i="11"/>
  <c r="L21" i="11" s="1"/>
  <c r="B48" i="11" s="1"/>
  <c r="L13" i="10"/>
  <c r="L21" i="10" s="1"/>
  <c r="B48" i="10" s="1"/>
  <c r="B31" i="9"/>
  <c r="B60" i="9"/>
  <c r="B66" i="9" s="1"/>
  <c r="L21" i="17"/>
  <c r="B48" i="17" s="1"/>
  <c r="B60" i="17"/>
  <c r="B31" i="17"/>
  <c r="L15" i="16"/>
  <c r="L21" i="16" s="1"/>
  <c r="B48" i="16" s="1"/>
  <c r="B66" i="16"/>
  <c r="B66" i="15"/>
  <c r="B66" i="13"/>
  <c r="B60" i="12"/>
  <c r="B31" i="12"/>
  <c r="B60" i="11"/>
  <c r="B31" i="11"/>
  <c r="B31" i="10"/>
  <c r="B60" i="10"/>
  <c r="B66" i="8"/>
  <c r="L15" i="13" l="1"/>
  <c r="L21" i="13" s="1"/>
  <c r="B48" i="13" s="1"/>
  <c r="B66" i="17"/>
  <c r="B66" i="12"/>
  <c r="B66" i="11"/>
  <c r="B66" i="10"/>
  <c r="L10" i="7" l="1"/>
  <c r="L13" i="7" s="1"/>
  <c r="L4" i="7"/>
  <c r="L7" i="7" s="1"/>
  <c r="C22" i="7"/>
  <c r="H21" i="7"/>
  <c r="C21" i="7"/>
  <c r="C20" i="7"/>
  <c r="C19" i="7"/>
  <c r="C15" i="7"/>
  <c r="C13" i="7"/>
  <c r="C12" i="7"/>
  <c r="C11" i="7"/>
  <c r="C10" i="7"/>
  <c r="L10" i="5"/>
  <c r="L13" i="5" s="1"/>
  <c r="L4" i="5"/>
  <c r="L7" i="5" s="1"/>
  <c r="B31" i="5" s="1"/>
  <c r="C22" i="5"/>
  <c r="H21" i="5"/>
  <c r="C21" i="5"/>
  <c r="C20" i="5"/>
  <c r="C19" i="5"/>
  <c r="C15" i="5"/>
  <c r="C13" i="5"/>
  <c r="C12" i="5"/>
  <c r="C11" i="5"/>
  <c r="C10" i="5"/>
  <c r="L10" i="4"/>
  <c r="L13" i="4" s="1"/>
  <c r="L4" i="4"/>
  <c r="L7" i="4" s="1"/>
  <c r="C22" i="4"/>
  <c r="H21" i="4"/>
  <c r="C21" i="4"/>
  <c r="C20" i="4"/>
  <c r="C19" i="4"/>
  <c r="C15" i="4"/>
  <c r="C13" i="4"/>
  <c r="C12" i="4"/>
  <c r="C11" i="4"/>
  <c r="C10" i="4"/>
  <c r="L10" i="3"/>
  <c r="L13" i="3" s="1"/>
  <c r="L4" i="3"/>
  <c r="L7" i="3" s="1"/>
  <c r="C22" i="3"/>
  <c r="C21" i="3"/>
  <c r="C20" i="3"/>
  <c r="C19" i="3"/>
  <c r="C15" i="3"/>
  <c r="C13" i="3"/>
  <c r="C12" i="3"/>
  <c r="C11" i="3"/>
  <c r="C10" i="3"/>
  <c r="B78" i="2"/>
  <c r="H21" i="3"/>
  <c r="C22" i="2"/>
  <c r="C21" i="2"/>
  <c r="B15" i="2"/>
  <c r="C15" i="2" s="1"/>
  <c r="E70" i="6"/>
  <c r="C71" i="6" s="1"/>
  <c r="C72" i="6" s="1"/>
  <c r="E65" i="6"/>
  <c r="C66" i="6" s="1"/>
  <c r="C67" i="6" s="1"/>
  <c r="C61" i="6"/>
  <c r="C62" i="6" s="1"/>
  <c r="E60" i="6"/>
  <c r="E55" i="6"/>
  <c r="C56" i="6" s="1"/>
  <c r="C57" i="6" s="1"/>
  <c r="C20" i="2"/>
  <c r="C19" i="2"/>
  <c r="C11" i="2"/>
  <c r="C12" i="2"/>
  <c r="C13" i="2"/>
  <c r="C10" i="2"/>
  <c r="B60" i="7" l="1"/>
  <c r="L21" i="7"/>
  <c r="B48" i="7" s="1"/>
  <c r="B31" i="7"/>
  <c r="C17" i="7"/>
  <c r="B17" i="7" s="1"/>
  <c r="L21" i="5"/>
  <c r="B48" i="5" s="1"/>
  <c r="B60" i="5"/>
  <c r="C17" i="5"/>
  <c r="B17" i="5" s="1"/>
  <c r="B31" i="4"/>
  <c r="L21" i="4"/>
  <c r="B48" i="4" s="1"/>
  <c r="B60" i="4"/>
  <c r="C17" i="4"/>
  <c r="B17" i="4" s="1"/>
  <c r="B60" i="3"/>
  <c r="B66" i="3" s="1"/>
  <c r="B31" i="3"/>
  <c r="C17" i="3"/>
  <c r="B17" i="3" s="1"/>
  <c r="L21" i="3"/>
  <c r="B48" i="3" s="1"/>
  <c r="B66" i="7" l="1"/>
  <c r="B66" i="5"/>
  <c r="B66" i="4"/>
  <c r="L10" i="2" l="1"/>
  <c r="L13" i="2" s="1"/>
  <c r="L4" i="2"/>
  <c r="L7" i="2" s="1"/>
  <c r="B31" i="2" s="1"/>
  <c r="H21" i="2"/>
  <c r="L21" i="2" l="1"/>
  <c r="B48" i="2" s="1"/>
  <c r="C17" i="2"/>
  <c r="B60" i="2"/>
  <c r="B66" i="2" l="1"/>
  <c r="B17" i="2"/>
  <c r="C2" i="12" l="1"/>
  <c r="B2" i="12"/>
  <c r="A2" i="12"/>
  <c r="C2" i="11"/>
  <c r="B2" i="11"/>
  <c r="A2" i="11"/>
  <c r="C2" i="10"/>
  <c r="B2" i="10"/>
  <c r="A2" i="10"/>
  <c r="C2" i="9"/>
  <c r="B2" i="9"/>
  <c r="A2" i="9"/>
  <c r="C2" i="8"/>
  <c r="B2" i="8"/>
  <c r="A2" i="8"/>
  <c r="C2" i="7"/>
  <c r="B2" i="7"/>
  <c r="A2" i="7"/>
  <c r="C2" i="5"/>
  <c r="B2" i="5"/>
  <c r="A2" i="5"/>
  <c r="C2" i="4"/>
  <c r="B2" i="4"/>
  <c r="A2" i="4"/>
  <c r="C2" i="3"/>
  <c r="B2" i="3"/>
  <c r="A2" i="3"/>
  <c r="B2" i="2"/>
  <c r="C2" i="2"/>
  <c r="A2" i="2"/>
  <c r="L25" i="6"/>
  <c r="L24" i="6"/>
  <c r="L23" i="6"/>
  <c r="E31" i="6"/>
  <c r="F31" i="6" s="1"/>
  <c r="N6" i="6"/>
  <c r="N7" i="6"/>
  <c r="N8" i="6"/>
  <c r="N5" i="6"/>
  <c r="G25" i="6" l="1"/>
  <c r="G23" i="6" s="1"/>
  <c r="G31" i="6" s="1"/>
  <c r="N10" i="6"/>
  <c r="K3" i="6" s="1"/>
  <c r="D21" i="6" s="1"/>
  <c r="E7" i="6" s="1"/>
  <c r="E32" i="6"/>
  <c r="F32" i="6" s="1"/>
  <c r="E33" i="6"/>
  <c r="E10" i="6"/>
  <c r="E8" i="6"/>
  <c r="E17" i="6"/>
  <c r="E16" i="6"/>
  <c r="E13" i="6"/>
  <c r="E6" i="6"/>
  <c r="E3" i="6"/>
  <c r="I3" i="6" s="1"/>
  <c r="E12" i="6"/>
  <c r="E5" i="6"/>
  <c r="E14" i="6"/>
  <c r="E9" i="6"/>
  <c r="E4" i="6"/>
  <c r="I4" i="6" s="1"/>
  <c r="E15" i="6"/>
  <c r="E11" i="6"/>
  <c r="F4" i="6"/>
  <c r="G32" i="6" l="1"/>
  <c r="D2" i="3" s="1"/>
  <c r="D2" i="2"/>
  <c r="H31" i="6"/>
  <c r="E34" i="6"/>
  <c r="F33" i="6"/>
  <c r="G4" i="6"/>
  <c r="G3" i="6"/>
  <c r="E18" i="6"/>
  <c r="I5" i="6"/>
  <c r="F5" i="6"/>
  <c r="G5" i="6" s="1"/>
  <c r="H32" i="6" l="1"/>
  <c r="G33" i="6"/>
  <c r="D2" i="4" s="1"/>
  <c r="I31" i="6"/>
  <c r="F2" i="2" s="1"/>
  <c r="E2" i="2"/>
  <c r="I32" i="6"/>
  <c r="F2" i="3" s="1"/>
  <c r="E2" i="3"/>
  <c r="E35" i="6"/>
  <c r="F34" i="6"/>
  <c r="I6" i="6"/>
  <c r="F6" i="6"/>
  <c r="G6" i="6" s="1"/>
  <c r="A91" i="2" l="1"/>
  <c r="A90" i="2" s="1"/>
  <c r="B23" i="18"/>
  <c r="A91" i="3"/>
  <c r="A90" i="3" s="1"/>
  <c r="B24" i="18"/>
  <c r="H33" i="6"/>
  <c r="G34" i="6"/>
  <c r="D2" i="5" s="1"/>
  <c r="B61" i="3"/>
  <c r="B73" i="3"/>
  <c r="B73" i="2"/>
  <c r="B61" i="2"/>
  <c r="I33" i="6"/>
  <c r="F2" i="4" s="1"/>
  <c r="E2" i="4"/>
  <c r="H34" i="6"/>
  <c r="E36" i="6"/>
  <c r="F35" i="6"/>
  <c r="I7" i="6"/>
  <c r="F7" i="6"/>
  <c r="G7" i="6" s="1"/>
  <c r="C93" i="3" l="1"/>
  <c r="E93" i="3" s="1"/>
  <c r="A91" i="4"/>
  <c r="A90" i="4" s="1"/>
  <c r="B25" i="18"/>
  <c r="C93" i="2"/>
  <c r="E93" i="2" s="1"/>
  <c r="G35" i="6"/>
  <c r="D2" i="7" s="1"/>
  <c r="B73" i="4"/>
  <c r="B61" i="4"/>
  <c r="B67" i="2"/>
  <c r="B68" i="2" s="1"/>
  <c r="U59" i="18" s="1"/>
  <c r="B62" i="2"/>
  <c r="U41" i="18" s="1"/>
  <c r="B67" i="3"/>
  <c r="B68" i="3" s="1"/>
  <c r="U60" i="18" s="1"/>
  <c r="B62" i="3"/>
  <c r="U42" i="18" s="1"/>
  <c r="I34" i="6"/>
  <c r="F2" i="5" s="1"/>
  <c r="E2" i="5"/>
  <c r="E37" i="6"/>
  <c r="F36" i="6"/>
  <c r="F8" i="6"/>
  <c r="G8" i="6" s="1"/>
  <c r="I8" i="6"/>
  <c r="C94" i="2" l="1"/>
  <c r="E94" i="2" s="1"/>
  <c r="C94" i="3"/>
  <c r="B26" i="18"/>
  <c r="A91" i="5"/>
  <c r="A90" i="5" s="1"/>
  <c r="C93" i="4"/>
  <c r="E93" i="4" s="1"/>
  <c r="H35" i="6"/>
  <c r="I35" i="6" s="1"/>
  <c r="F2" i="7" s="1"/>
  <c r="G36" i="6"/>
  <c r="D2" i="8" s="1"/>
  <c r="B61" i="5"/>
  <c r="B73" i="5"/>
  <c r="B67" i="4"/>
  <c r="B68" i="4" s="1"/>
  <c r="U61" i="18" s="1"/>
  <c r="B62" i="4"/>
  <c r="U43" i="18" s="1"/>
  <c r="E38" i="6"/>
  <c r="F37" i="6"/>
  <c r="F9" i="6"/>
  <c r="G9" i="6" s="1"/>
  <c r="I9" i="6"/>
  <c r="C94" i="4" l="1"/>
  <c r="E94" i="4" s="1"/>
  <c r="C95" i="2"/>
  <c r="C96" i="2" s="1"/>
  <c r="E96" i="2" s="1"/>
  <c r="E94" i="3"/>
  <c r="C95" i="3"/>
  <c r="C96" i="3" s="1"/>
  <c r="C93" i="5"/>
  <c r="E93" i="5" s="1"/>
  <c r="E2" i="7"/>
  <c r="B61" i="7" s="1"/>
  <c r="H36" i="6"/>
  <c r="G37" i="6"/>
  <c r="D2" i="9" s="1"/>
  <c r="B67" i="5"/>
  <c r="B68" i="5" s="1"/>
  <c r="U62" i="18" s="1"/>
  <c r="B62" i="5"/>
  <c r="U44" i="18" s="1"/>
  <c r="I36" i="6"/>
  <c r="F2" i="8" s="1"/>
  <c r="E2" i="8"/>
  <c r="E39" i="6"/>
  <c r="F38" i="6"/>
  <c r="I10" i="6"/>
  <c r="F10" i="6"/>
  <c r="G10" i="6" s="1"/>
  <c r="C95" i="4" l="1"/>
  <c r="E95" i="4" s="1"/>
  <c r="E95" i="2"/>
  <c r="C97" i="2"/>
  <c r="C98" i="2" s="1"/>
  <c r="E98" i="2" s="1"/>
  <c r="E96" i="3"/>
  <c r="E95" i="3"/>
  <c r="C97" i="3"/>
  <c r="E97" i="3" s="1"/>
  <c r="C94" i="5"/>
  <c r="A91" i="7"/>
  <c r="A90" i="7" s="1"/>
  <c r="B27" i="18"/>
  <c r="A91" i="8"/>
  <c r="B28" i="18"/>
  <c r="B73" i="7"/>
  <c r="H37" i="6"/>
  <c r="E2" i="9" s="1"/>
  <c r="G38" i="6"/>
  <c r="D2" i="10" s="1"/>
  <c r="B61" i="8"/>
  <c r="B73" i="8"/>
  <c r="B67" i="7"/>
  <c r="B68" i="7" s="1"/>
  <c r="U63" i="18" s="1"/>
  <c r="B62" i="7"/>
  <c r="U45" i="18" s="1"/>
  <c r="F39" i="6"/>
  <c r="I11" i="6"/>
  <c r="F11" i="6"/>
  <c r="G11" i="6" s="1"/>
  <c r="C96" i="4" l="1"/>
  <c r="E96" i="4" s="1"/>
  <c r="C98" i="3"/>
  <c r="E97" i="2"/>
  <c r="E94" i="5"/>
  <c r="C95" i="5"/>
  <c r="C99" i="2"/>
  <c r="A91" i="9"/>
  <c r="A90" i="9" s="1"/>
  <c r="B29" i="18"/>
  <c r="C93" i="7"/>
  <c r="E93" i="7" s="1"/>
  <c r="C93" i="8"/>
  <c r="E93" i="8" s="1"/>
  <c r="H38" i="6"/>
  <c r="I37" i="6"/>
  <c r="F2" i="9" s="1"/>
  <c r="G39" i="6"/>
  <c r="B61" i="9"/>
  <c r="B73" i="9"/>
  <c r="B67" i="8"/>
  <c r="B68" i="8" s="1"/>
  <c r="U64" i="18" s="1"/>
  <c r="B62" i="8"/>
  <c r="U46" i="18" s="1"/>
  <c r="I38" i="6"/>
  <c r="F2" i="10" s="1"/>
  <c r="E2" i="10"/>
  <c r="I12" i="6"/>
  <c r="F12" i="6"/>
  <c r="G12" i="6" s="1"/>
  <c r="C97" i="4" l="1"/>
  <c r="E97" i="4" s="1"/>
  <c r="C94" i="7"/>
  <c r="E94" i="7" s="1"/>
  <c r="E98" i="3"/>
  <c r="C99" i="3"/>
  <c r="E99" i="2"/>
  <c r="C100" i="2"/>
  <c r="E100" i="2" s="1"/>
  <c r="E95" i="5"/>
  <c r="C96" i="5"/>
  <c r="C93" i="9"/>
  <c r="E93" i="9" s="1"/>
  <c r="B30" i="18"/>
  <c r="A91" i="10"/>
  <c r="A90" i="10" s="1"/>
  <c r="C94" i="8"/>
  <c r="D2" i="11"/>
  <c r="G40" i="6"/>
  <c r="G41" i="6" s="1"/>
  <c r="D2" i="13" s="1"/>
  <c r="H39" i="6"/>
  <c r="E2" i="11" s="1"/>
  <c r="B67" i="9"/>
  <c r="B68" i="9" s="1"/>
  <c r="U65" i="18" s="1"/>
  <c r="B62" i="9"/>
  <c r="U47" i="18" s="1"/>
  <c r="B61" i="10"/>
  <c r="B73" i="10"/>
  <c r="I13" i="6"/>
  <c r="F13" i="6"/>
  <c r="G13" i="6" s="1"/>
  <c r="C98" i="4" l="1"/>
  <c r="E98" i="4" s="1"/>
  <c r="C95" i="7"/>
  <c r="E95" i="7" s="1"/>
  <c r="E99" i="3"/>
  <c r="C100" i="3"/>
  <c r="E100" i="3" s="1"/>
  <c r="E101" i="3" s="1"/>
  <c r="E96" i="5"/>
  <c r="C97" i="5"/>
  <c r="E101" i="2"/>
  <c r="A91" i="11"/>
  <c r="A90" i="11" s="1"/>
  <c r="B31" i="18"/>
  <c r="E94" i="8"/>
  <c r="C95" i="8"/>
  <c r="E95" i="8" s="1"/>
  <c r="C93" i="10"/>
  <c r="E93" i="10" s="1"/>
  <c r="C94" i="9"/>
  <c r="C95" i="9" s="1"/>
  <c r="E95" i="9" s="1"/>
  <c r="I39" i="6"/>
  <c r="F2" i="11" s="1"/>
  <c r="D2" i="12"/>
  <c r="H40" i="6"/>
  <c r="I40" i="6" s="1"/>
  <c r="F2" i="12" s="1"/>
  <c r="H41" i="6"/>
  <c r="G42" i="6"/>
  <c r="D2" i="14" s="1"/>
  <c r="B67" i="10"/>
  <c r="B68" i="10" s="1"/>
  <c r="U66" i="18" s="1"/>
  <c r="B62" i="10"/>
  <c r="U48" i="18" s="1"/>
  <c r="B61" i="11"/>
  <c r="B73" i="11"/>
  <c r="I14" i="6"/>
  <c r="F14" i="6"/>
  <c r="G14" i="6" s="1"/>
  <c r="C99" i="4" l="1"/>
  <c r="E99" i="4" s="1"/>
  <c r="C96" i="7"/>
  <c r="E96" i="7" s="1"/>
  <c r="C25" i="3"/>
  <c r="C26" i="3" s="1"/>
  <c r="B60" i="18"/>
  <c r="B59" i="18"/>
  <c r="C25" i="2"/>
  <c r="C26" i="2" s="1"/>
  <c r="E97" i="5"/>
  <c r="C98" i="5"/>
  <c r="C94" i="10"/>
  <c r="E94" i="10" s="1"/>
  <c r="E94" i="9"/>
  <c r="C96" i="9"/>
  <c r="C96" i="8"/>
  <c r="C93" i="11"/>
  <c r="E93" i="11" s="1"/>
  <c r="I41" i="6"/>
  <c r="F2" i="13" s="1"/>
  <c r="E2" i="13"/>
  <c r="E2" i="12"/>
  <c r="G43" i="6"/>
  <c r="D2" i="15" s="1"/>
  <c r="H42" i="6"/>
  <c r="B67" i="11"/>
  <c r="B68" i="11" s="1"/>
  <c r="U67" i="18" s="1"/>
  <c r="B62" i="11"/>
  <c r="U49" i="18" s="1"/>
  <c r="I15" i="6"/>
  <c r="F15" i="6"/>
  <c r="G15" i="6" s="1"/>
  <c r="C100" i="4" l="1"/>
  <c r="E100" i="4" s="1"/>
  <c r="E101" i="4" s="1"/>
  <c r="C97" i="7"/>
  <c r="F10" i="3"/>
  <c r="C27" i="3"/>
  <c r="B37" i="3" s="1"/>
  <c r="B6" i="18"/>
  <c r="C95" i="10"/>
  <c r="B5" i="18"/>
  <c r="C27" i="2"/>
  <c r="B37" i="2" s="1"/>
  <c r="F10" i="2"/>
  <c r="C94" i="11"/>
  <c r="E94" i="11" s="1"/>
  <c r="E98" i="5"/>
  <c r="C99" i="5"/>
  <c r="E99" i="5" s="1"/>
  <c r="A91" i="12"/>
  <c r="A90" i="12" s="1"/>
  <c r="B32" i="18"/>
  <c r="E96" i="8"/>
  <c r="C97" i="8"/>
  <c r="E97" i="8" s="1"/>
  <c r="E96" i="9"/>
  <c r="A91" i="13"/>
  <c r="A90" i="13" s="1"/>
  <c r="B33" i="18"/>
  <c r="C97" i="9"/>
  <c r="E97" i="9" s="1"/>
  <c r="I42" i="6"/>
  <c r="F2" i="14" s="1"/>
  <c r="E2" i="14"/>
  <c r="B73" i="13"/>
  <c r="B61" i="13"/>
  <c r="B61" i="12"/>
  <c r="B73" i="12"/>
  <c r="G44" i="6"/>
  <c r="D2" i="16" s="1"/>
  <c r="H43" i="6"/>
  <c r="I16" i="6"/>
  <c r="F16" i="6"/>
  <c r="G16" i="6" s="1"/>
  <c r="C25" i="4" l="1"/>
  <c r="C26" i="4" s="1"/>
  <c r="F10" i="4" s="1"/>
  <c r="B61" i="18"/>
  <c r="C27" i="4"/>
  <c r="B37" i="4" s="1"/>
  <c r="C98" i="7"/>
  <c r="E97" i="7"/>
  <c r="C98" i="8"/>
  <c r="E98" i="8" s="1"/>
  <c r="C98" i="9"/>
  <c r="E98" i="9" s="1"/>
  <c r="E95" i="10"/>
  <c r="I4" i="2"/>
  <c r="E29" i="2"/>
  <c r="B72" i="2" s="1"/>
  <c r="B74" i="2" s="1"/>
  <c r="AF4" i="18" s="1"/>
  <c r="C95" i="11"/>
  <c r="C100" i="5"/>
  <c r="E100" i="5" s="1"/>
  <c r="E101" i="5" s="1"/>
  <c r="C96" i="10"/>
  <c r="C97" i="10" s="1"/>
  <c r="E97" i="10" s="1"/>
  <c r="C93" i="12"/>
  <c r="E93" i="12" s="1"/>
  <c r="B34" i="18"/>
  <c r="A91" i="14"/>
  <c r="A90" i="14" s="1"/>
  <c r="C93" i="13"/>
  <c r="E93" i="13" s="1"/>
  <c r="B73" i="14"/>
  <c r="B61" i="14"/>
  <c r="B67" i="13"/>
  <c r="B68" i="13" s="1"/>
  <c r="U69" i="18" s="1"/>
  <c r="B62" i="13"/>
  <c r="U51" i="18" s="1"/>
  <c r="I43" i="6"/>
  <c r="F2" i="15" s="1"/>
  <c r="E2" i="15"/>
  <c r="B67" i="12"/>
  <c r="B68" i="12" s="1"/>
  <c r="U68" i="18" s="1"/>
  <c r="B62" i="12"/>
  <c r="U50" i="18" s="1"/>
  <c r="H44" i="6"/>
  <c r="G45" i="6"/>
  <c r="I17" i="6"/>
  <c r="F17" i="6"/>
  <c r="B7" i="18" l="1"/>
  <c r="E98" i="7"/>
  <c r="C99" i="7"/>
  <c r="E99" i="7" s="1"/>
  <c r="C94" i="12"/>
  <c r="E94" i="12" s="1"/>
  <c r="C99" i="9"/>
  <c r="C100" i="9" s="1"/>
  <c r="E100" i="9" s="1"/>
  <c r="C99" i="8"/>
  <c r="E99" i="8" s="1"/>
  <c r="C94" i="13"/>
  <c r="E94" i="13" s="1"/>
  <c r="C25" i="5"/>
  <c r="C26" i="5" s="1"/>
  <c r="B62" i="18"/>
  <c r="E95" i="11"/>
  <c r="C96" i="11"/>
  <c r="E96" i="10"/>
  <c r="C98" i="10"/>
  <c r="I21" i="2"/>
  <c r="I4" i="3"/>
  <c r="A91" i="15"/>
  <c r="A90" i="15" s="1"/>
  <c r="B35" i="18"/>
  <c r="C100" i="8"/>
  <c r="E100" i="8" s="1"/>
  <c r="C93" i="14"/>
  <c r="E93" i="14" s="1"/>
  <c r="H45" i="6"/>
  <c r="D2" i="17"/>
  <c r="B67" i="14"/>
  <c r="B68" i="14" s="1"/>
  <c r="U70" i="18" s="1"/>
  <c r="B62" i="14"/>
  <c r="U52" i="18" s="1"/>
  <c r="I44" i="6"/>
  <c r="F2" i="16" s="1"/>
  <c r="E2" i="16"/>
  <c r="B61" i="15"/>
  <c r="B73" i="15"/>
  <c r="F18" i="6"/>
  <c r="G17" i="6"/>
  <c r="G18" i="6" s="1"/>
  <c r="E99" i="9" l="1"/>
  <c r="C100" i="7"/>
  <c r="E100" i="7" s="1"/>
  <c r="E101" i="7" s="1"/>
  <c r="C95" i="12"/>
  <c r="E95" i="12" s="1"/>
  <c r="C95" i="13"/>
  <c r="C96" i="13" s="1"/>
  <c r="E101" i="8"/>
  <c r="B64" i="18" s="1"/>
  <c r="E101" i="9"/>
  <c r="C25" i="9" s="1"/>
  <c r="C26" i="9" s="1"/>
  <c r="E98" i="10"/>
  <c r="C99" i="10"/>
  <c r="E96" i="11"/>
  <c r="C97" i="11"/>
  <c r="B30" i="2"/>
  <c r="B42" i="2"/>
  <c r="B49" i="2"/>
  <c r="F20" i="2"/>
  <c r="C27" i="5"/>
  <c r="B37" i="5" s="1"/>
  <c r="B8" i="18"/>
  <c r="F10" i="5"/>
  <c r="A91" i="16"/>
  <c r="A90" i="16" s="1"/>
  <c r="B36" i="18"/>
  <c r="C93" i="15"/>
  <c r="E93" i="15" s="1"/>
  <c r="C94" i="14"/>
  <c r="B67" i="15"/>
  <c r="B68" i="15" s="1"/>
  <c r="U71" i="18" s="1"/>
  <c r="B62" i="15"/>
  <c r="U53" i="18" s="1"/>
  <c r="B73" i="16"/>
  <c r="B61" i="16"/>
  <c r="I45" i="6"/>
  <c r="F2" i="17" s="1"/>
  <c r="E2" i="17"/>
  <c r="E95" i="13" l="1"/>
  <c r="B65" i="18"/>
  <c r="C96" i="12"/>
  <c r="E96" i="12" s="1"/>
  <c r="B63" i="18"/>
  <c r="C25" i="7"/>
  <c r="C26" i="7" s="1"/>
  <c r="C25" i="8"/>
  <c r="C26" i="8" s="1"/>
  <c r="B10" i="18" s="1"/>
  <c r="B43" i="2"/>
  <c r="B41" i="18"/>
  <c r="B50" i="2"/>
  <c r="U4" i="18" s="1"/>
  <c r="B55" i="2"/>
  <c r="E99" i="10"/>
  <c r="C100" i="10"/>
  <c r="E100" i="10" s="1"/>
  <c r="E97" i="11"/>
  <c r="C98" i="11"/>
  <c r="E98" i="11" s="1"/>
  <c r="B32" i="2"/>
  <c r="K5" i="18" s="1"/>
  <c r="B36" i="2"/>
  <c r="B38" i="2" s="1"/>
  <c r="K23" i="18" s="1"/>
  <c r="B11" i="18"/>
  <c r="C27" i="9"/>
  <c r="B37" i="9" s="1"/>
  <c r="F10" i="9"/>
  <c r="C93" i="16"/>
  <c r="E93" i="16" s="1"/>
  <c r="A91" i="17"/>
  <c r="A90" i="17" s="1"/>
  <c r="B37" i="18"/>
  <c r="C94" i="15"/>
  <c r="C95" i="15" s="1"/>
  <c r="E95" i="15" s="1"/>
  <c r="E96" i="13"/>
  <c r="C97" i="13"/>
  <c r="C98" i="13" s="1"/>
  <c r="E98" i="13" s="1"/>
  <c r="E94" i="14"/>
  <c r="C95" i="14"/>
  <c r="B67" i="16"/>
  <c r="B68" i="16" s="1"/>
  <c r="U72" i="18" s="1"/>
  <c r="B62" i="16"/>
  <c r="U54" i="18" s="1"/>
  <c r="B61" i="17"/>
  <c r="B73" i="17"/>
  <c r="F10" i="8" l="1"/>
  <c r="C97" i="12"/>
  <c r="C27" i="8"/>
  <c r="B37" i="8" s="1"/>
  <c r="B9" i="18"/>
  <c r="F10" i="7"/>
  <c r="C27" i="7"/>
  <c r="B37" i="7" s="1"/>
  <c r="E97" i="12"/>
  <c r="C98" i="12"/>
  <c r="C99" i="11"/>
  <c r="E99" i="11" s="1"/>
  <c r="E101" i="10"/>
  <c r="B79" i="2"/>
  <c r="B80" i="2" s="1"/>
  <c r="AF23" i="18" s="1"/>
  <c r="B44" i="2"/>
  <c r="K41" i="18" s="1"/>
  <c r="B54" i="2"/>
  <c r="B56" i="2" s="1"/>
  <c r="U23" i="18" s="1"/>
  <c r="C96" i="15"/>
  <c r="E94" i="15"/>
  <c r="E95" i="14"/>
  <c r="C96" i="14"/>
  <c r="C93" i="17"/>
  <c r="E93" i="17" s="1"/>
  <c r="E97" i="13"/>
  <c r="C99" i="13"/>
  <c r="E99" i="13" s="1"/>
  <c r="C94" i="16"/>
  <c r="D137" i="6"/>
  <c r="B67" i="17"/>
  <c r="B68" i="17" s="1"/>
  <c r="U73" i="18" s="1"/>
  <c r="B62" i="17"/>
  <c r="U55" i="18" s="1"/>
  <c r="H135" i="6" l="1"/>
  <c r="J135" i="6" s="1"/>
  <c r="F157" i="6" s="1"/>
  <c r="H139" i="6"/>
  <c r="J139" i="6" s="1"/>
  <c r="F161" i="6" s="1"/>
  <c r="H136" i="6"/>
  <c r="J136" i="6" s="1"/>
  <c r="F158" i="6" s="1"/>
  <c r="H140" i="6"/>
  <c r="J140" i="6" s="1"/>
  <c r="F162" i="6" s="1"/>
  <c r="H133" i="6"/>
  <c r="J133" i="6" s="1"/>
  <c r="F155" i="6" s="1"/>
  <c r="H142" i="6"/>
  <c r="J142" i="6" s="1"/>
  <c r="F164" i="6" s="1"/>
  <c r="H137" i="6"/>
  <c r="J137" i="6" s="1"/>
  <c r="F159" i="6" s="1"/>
  <c r="H141" i="6"/>
  <c r="J141" i="6" s="1"/>
  <c r="F163" i="6" s="1"/>
  <c r="H134" i="6"/>
  <c r="J134" i="6" s="1"/>
  <c r="F156" i="6" s="1"/>
  <c r="H138" i="6"/>
  <c r="J138" i="6" s="1"/>
  <c r="F160" i="6" s="1"/>
  <c r="E98" i="12"/>
  <c r="C99" i="12"/>
  <c r="C100" i="11"/>
  <c r="E100" i="11" s="1"/>
  <c r="E101" i="11" s="1"/>
  <c r="C25" i="11" s="1"/>
  <c r="C26" i="11" s="1"/>
  <c r="C25" i="10"/>
  <c r="C26" i="10" s="1"/>
  <c r="B66" i="18"/>
  <c r="E94" i="16"/>
  <c r="C97" i="15"/>
  <c r="E96" i="15"/>
  <c r="E96" i="14"/>
  <c r="C97" i="14"/>
  <c r="C95" i="16"/>
  <c r="C94" i="17"/>
  <c r="E94" i="17" s="1"/>
  <c r="C100" i="13"/>
  <c r="E100" i="13" s="1"/>
  <c r="E101" i="13" s="1"/>
  <c r="B67" i="18" l="1"/>
  <c r="E99" i="12"/>
  <c r="C100" i="12"/>
  <c r="E100" i="12" s="1"/>
  <c r="E101" i="12" s="1"/>
  <c r="F10" i="10"/>
  <c r="C27" i="10"/>
  <c r="B37" i="10" s="1"/>
  <c r="B12" i="18"/>
  <c r="B13" i="18"/>
  <c r="C27" i="11"/>
  <c r="B37" i="11" s="1"/>
  <c r="F10" i="11"/>
  <c r="E97" i="14"/>
  <c r="E97" i="15"/>
  <c r="C98" i="15"/>
  <c r="C99" i="15" s="1"/>
  <c r="E99" i="15" s="1"/>
  <c r="C98" i="14"/>
  <c r="E98" i="14" s="1"/>
  <c r="C95" i="17"/>
  <c r="E95" i="17" s="1"/>
  <c r="C25" i="13"/>
  <c r="C26" i="13" s="1"/>
  <c r="B69" i="18"/>
  <c r="E95" i="16"/>
  <c r="C96" i="16"/>
  <c r="B68" i="18" l="1"/>
  <c r="C25" i="12"/>
  <c r="C26" i="12" s="1"/>
  <c r="C96" i="17"/>
  <c r="E96" i="17" s="1"/>
  <c r="C99" i="14"/>
  <c r="E99" i="14" s="1"/>
  <c r="B15" i="18"/>
  <c r="C27" i="13"/>
  <c r="B37" i="13" s="1"/>
  <c r="F10" i="13"/>
  <c r="E98" i="15"/>
  <c r="C100" i="15"/>
  <c r="E100" i="15" s="1"/>
  <c r="C97" i="16"/>
  <c r="E97" i="16" s="1"/>
  <c r="E96" i="16"/>
  <c r="C97" i="17" l="1"/>
  <c r="E97" i="17" s="1"/>
  <c r="B14" i="18"/>
  <c r="F10" i="12"/>
  <c r="C27" i="12"/>
  <c r="B37" i="12" s="1"/>
  <c r="C98" i="16"/>
  <c r="E98" i="16" s="1"/>
  <c r="C98" i="17"/>
  <c r="E98" i="17" s="1"/>
  <c r="C100" i="14"/>
  <c r="E100" i="14" s="1"/>
  <c r="E101" i="14" s="1"/>
  <c r="C25" i="14" s="1"/>
  <c r="C26" i="14" s="1"/>
  <c r="E101" i="15"/>
  <c r="C25" i="15" s="1"/>
  <c r="C26" i="15" s="1"/>
  <c r="C99" i="16"/>
  <c r="E99" i="16" s="1"/>
  <c r="C100" i="16" l="1"/>
  <c r="E100" i="16" s="1"/>
  <c r="E101" i="16" s="1"/>
  <c r="C99" i="17"/>
  <c r="E99" i="17" s="1"/>
  <c r="B71" i="18"/>
  <c r="B70" i="18"/>
  <c r="B16" i="18"/>
  <c r="C27" i="14"/>
  <c r="B37" i="14" s="1"/>
  <c r="F10" i="14"/>
  <c r="B17" i="18"/>
  <c r="C27" i="15"/>
  <c r="B37" i="15" s="1"/>
  <c r="F10" i="15"/>
  <c r="C25" i="16"/>
  <c r="C26" i="16" s="1"/>
  <c r="B72" i="18"/>
  <c r="C100" i="17" l="1"/>
  <c r="E100" i="17" s="1"/>
  <c r="E101" i="17" s="1"/>
  <c r="B18" i="18"/>
  <c r="C27" i="16"/>
  <c r="B37" i="16" s="1"/>
  <c r="F10" i="16"/>
  <c r="C25" i="17" l="1"/>
  <c r="C26" i="17" s="1"/>
  <c r="B73" i="18"/>
  <c r="B19" i="18" l="1"/>
  <c r="F10" i="17"/>
  <c r="C27" i="17"/>
  <c r="B37" i="17" s="1"/>
  <c r="G43" i="16" l="1"/>
  <c r="B78" i="16" s="1"/>
  <c r="G43" i="15"/>
  <c r="B78" i="15" s="1"/>
  <c r="G43" i="14"/>
  <c r="B78" i="14" s="1"/>
  <c r="G43" i="13"/>
  <c r="B78" i="13"/>
  <c r="G43" i="12"/>
  <c r="B78" i="12" s="1"/>
  <c r="G38" i="11"/>
  <c r="B78" i="11" s="1"/>
  <c r="G38" i="10"/>
  <c r="B78" i="10" s="1"/>
  <c r="G38" i="9"/>
  <c r="B78" i="9" s="1"/>
  <c r="G38" i="8"/>
  <c r="B78" i="8" s="1"/>
  <c r="G38" i="7"/>
  <c r="B78" i="7" s="1"/>
  <c r="G38" i="5"/>
  <c r="B78" i="5" s="1"/>
  <c r="G38" i="4"/>
  <c r="B78" i="4" s="1"/>
  <c r="B78" i="3"/>
  <c r="I21" i="3"/>
  <c r="I4" i="4" s="1"/>
  <c r="I21" i="4" s="1"/>
  <c r="G43" i="17"/>
  <c r="B78" i="17" s="1"/>
  <c r="I29" i="3" l="1"/>
  <c r="F20" i="3" s="1"/>
  <c r="D29" i="3"/>
  <c r="B72" i="3" s="1"/>
  <c r="B74" i="3" s="1"/>
  <c r="AF5" i="18" s="1"/>
  <c r="I4" i="5"/>
  <c r="I21" i="5" s="1"/>
  <c r="D29" i="4"/>
  <c r="B72" i="4" s="1"/>
  <c r="B74" i="4" s="1"/>
  <c r="AF6" i="18" s="1"/>
  <c r="I29" i="4"/>
  <c r="B30" i="4"/>
  <c r="B43" i="3"/>
  <c r="B42" i="18"/>
  <c r="B30" i="3"/>
  <c r="B49" i="3"/>
  <c r="B157" i="6" l="1"/>
  <c r="B156" i="6"/>
  <c r="B155" i="6"/>
  <c r="B163" i="6"/>
  <c r="B160" i="6"/>
  <c r="B153" i="6"/>
  <c r="B152" i="6"/>
  <c r="B162" i="6"/>
  <c r="B164" i="6"/>
  <c r="B158" i="6"/>
  <c r="B154" i="6"/>
  <c r="B161" i="6"/>
  <c r="B151" i="6"/>
  <c r="B159" i="6"/>
  <c r="B42" i="4"/>
  <c r="B36" i="4"/>
  <c r="B38" i="4" s="1"/>
  <c r="K25" i="18" s="1"/>
  <c r="B32" i="4"/>
  <c r="K7" i="18" s="1"/>
  <c r="B36" i="3"/>
  <c r="B38" i="3" s="1"/>
  <c r="K24" i="18" s="1"/>
  <c r="B42" i="3"/>
  <c r="B44" i="3" s="1"/>
  <c r="K42" i="18" s="1"/>
  <c r="B32" i="3"/>
  <c r="K6" i="18" s="1"/>
  <c r="F20" i="4"/>
  <c r="B49" i="4"/>
  <c r="B50" i="3"/>
  <c r="U5" i="18" s="1"/>
  <c r="B55" i="3"/>
  <c r="B54" i="3"/>
  <c r="B79" i="3"/>
  <c r="B80" i="3" s="1"/>
  <c r="AF24" i="18" s="1"/>
  <c r="I4" i="7"/>
  <c r="I21" i="7" s="1"/>
  <c r="I29" i="5"/>
  <c r="B30" i="5"/>
  <c r="D29" i="5"/>
  <c r="B72" i="5" s="1"/>
  <c r="B74" i="5" s="1"/>
  <c r="AF7" i="18" s="1"/>
  <c r="I29" i="7" l="1"/>
  <c r="B30" i="7"/>
  <c r="D29" i="7"/>
  <c r="B72" i="7" s="1"/>
  <c r="B74" i="7" s="1"/>
  <c r="AF8" i="18" s="1"/>
  <c r="I4" i="8"/>
  <c r="I21" i="8" s="1"/>
  <c r="F20" i="5"/>
  <c r="B49" i="5"/>
  <c r="B55" i="4"/>
  <c r="B50" i="4"/>
  <c r="U6" i="18" s="1"/>
  <c r="B42" i="5"/>
  <c r="B32" i="5"/>
  <c r="K8" i="18" s="1"/>
  <c r="B36" i="5"/>
  <c r="B38" i="5" s="1"/>
  <c r="K26" i="18" s="1"/>
  <c r="B56" i="3"/>
  <c r="U24" i="18" s="1"/>
  <c r="B43" i="4"/>
  <c r="B43" i="18"/>
  <c r="B30" i="8" l="1"/>
  <c r="I4" i="9"/>
  <c r="I21" i="9" s="1"/>
  <c r="I29" i="8"/>
  <c r="D29" i="8"/>
  <c r="B72" i="8" s="1"/>
  <c r="B74" i="8" s="1"/>
  <c r="AF9" i="18" s="1"/>
  <c r="B55" i="5"/>
  <c r="B50" i="5"/>
  <c r="U7" i="18" s="1"/>
  <c r="B54" i="4"/>
  <c r="B56" i="4" s="1"/>
  <c r="U25" i="18" s="1"/>
  <c r="B79" i="4"/>
  <c r="B80" i="4" s="1"/>
  <c r="AF25" i="18" s="1"/>
  <c r="B43" i="5"/>
  <c r="B44" i="18"/>
  <c r="B42" i="7"/>
  <c r="B36" i="7"/>
  <c r="B38" i="7" s="1"/>
  <c r="K27" i="18" s="1"/>
  <c r="B32" i="7"/>
  <c r="K9" i="18" s="1"/>
  <c r="B44" i="4"/>
  <c r="K43" i="18" s="1"/>
  <c r="F20" i="7"/>
  <c r="B49" i="7"/>
  <c r="B43" i="7" l="1"/>
  <c r="B45" i="18"/>
  <c r="B30" i="9"/>
  <c r="I4" i="10"/>
  <c r="I21" i="10" s="1"/>
  <c r="D29" i="9"/>
  <c r="B72" i="9" s="1"/>
  <c r="B74" i="9" s="1"/>
  <c r="AF10" i="18" s="1"/>
  <c r="I30" i="9"/>
  <c r="B49" i="8"/>
  <c r="F20" i="8"/>
  <c r="B54" i="5"/>
  <c r="B56" i="5" s="1"/>
  <c r="U26" i="18" s="1"/>
  <c r="B79" i="5"/>
  <c r="B80" i="5" s="1"/>
  <c r="AF26" i="18" s="1"/>
  <c r="B55" i="7"/>
  <c r="B50" i="7"/>
  <c r="U8" i="18" s="1"/>
  <c r="B44" i="5"/>
  <c r="K44" i="18" s="1"/>
  <c r="B36" i="8"/>
  <c r="B38" i="8" s="1"/>
  <c r="K28" i="18" s="1"/>
  <c r="B42" i="8"/>
  <c r="B32" i="8"/>
  <c r="K10" i="18" s="1"/>
  <c r="B50" i="8" l="1"/>
  <c r="U9" i="18" s="1"/>
  <c r="B55" i="8"/>
  <c r="B54" i="7"/>
  <c r="B56" i="7" s="1"/>
  <c r="U27" i="18" s="1"/>
  <c r="B79" i="7"/>
  <c r="B80" i="7" s="1"/>
  <c r="AF27" i="18" s="1"/>
  <c r="B32" i="9"/>
  <c r="K11" i="18" s="1"/>
  <c r="B42" i="9"/>
  <c r="B36" i="9"/>
  <c r="B38" i="9" s="1"/>
  <c r="K29" i="18" s="1"/>
  <c r="B49" i="9"/>
  <c r="F20" i="9"/>
  <c r="B43" i="8"/>
  <c r="B46" i="18"/>
  <c r="I4" i="11"/>
  <c r="I21" i="11" s="1"/>
  <c r="D29" i="10"/>
  <c r="B72" i="10" s="1"/>
  <c r="B74" i="10" s="1"/>
  <c r="AF11" i="18" s="1"/>
  <c r="B30" i="10"/>
  <c r="I30" i="10"/>
  <c r="B44" i="7"/>
  <c r="K45" i="18" s="1"/>
  <c r="B42" i="10" l="1"/>
  <c r="B36" i="10"/>
  <c r="B38" i="10" s="1"/>
  <c r="K30" i="18" s="1"/>
  <c r="B32" i="10"/>
  <c r="K12" i="18" s="1"/>
  <c r="B47" i="18"/>
  <c r="B43" i="9"/>
  <c r="B44" i="9" s="1"/>
  <c r="K47" i="18" s="1"/>
  <c r="F20" i="10"/>
  <c r="B49" i="10"/>
  <c r="B54" i="8"/>
  <c r="B56" i="8" s="1"/>
  <c r="U28" i="18" s="1"/>
  <c r="B79" i="8"/>
  <c r="B80" i="8" s="1"/>
  <c r="AF28" i="18" s="1"/>
  <c r="I30" i="11"/>
  <c r="I4" i="12"/>
  <c r="I21" i="12" s="1"/>
  <c r="D29" i="11"/>
  <c r="B72" i="11" s="1"/>
  <c r="B74" i="11" s="1"/>
  <c r="AF12" i="18" s="1"/>
  <c r="B30" i="11"/>
  <c r="B55" i="9"/>
  <c r="B50" i="9"/>
  <c r="U10" i="18" s="1"/>
  <c r="B44" i="8"/>
  <c r="K46" i="18" s="1"/>
  <c r="F20" i="11" l="1"/>
  <c r="B49" i="11"/>
  <c r="D29" i="12"/>
  <c r="B72" i="12" s="1"/>
  <c r="B74" i="12" s="1"/>
  <c r="AF13" i="18" s="1"/>
  <c r="I31" i="12"/>
  <c r="I4" i="13"/>
  <c r="I21" i="13" s="1"/>
  <c r="B30" i="12"/>
  <c r="B50" i="10"/>
  <c r="U11" i="18" s="1"/>
  <c r="B55" i="10"/>
  <c r="B43" i="10"/>
  <c r="B48" i="18"/>
  <c r="B36" i="11"/>
  <c r="B38" i="11" s="1"/>
  <c r="K31" i="18" s="1"/>
  <c r="B42" i="11"/>
  <c r="B32" i="11"/>
  <c r="K13" i="18" s="1"/>
  <c r="B79" i="9"/>
  <c r="B80" i="9" s="1"/>
  <c r="AF29" i="18" s="1"/>
  <c r="B54" i="9"/>
  <c r="B56" i="9" s="1"/>
  <c r="U29" i="18" s="1"/>
  <c r="B44" i="10"/>
  <c r="K48" i="18" s="1"/>
  <c r="B42" i="12" l="1"/>
  <c r="B32" i="12"/>
  <c r="K14" i="18" s="1"/>
  <c r="B36" i="12"/>
  <c r="B38" i="12" s="1"/>
  <c r="K32" i="18" s="1"/>
  <c r="B50" i="11"/>
  <c r="U12" i="18" s="1"/>
  <c r="B55" i="11"/>
  <c r="B49" i="12"/>
  <c r="F20" i="12"/>
  <c r="B54" i="10"/>
  <c r="B56" i="10" s="1"/>
  <c r="U30" i="18" s="1"/>
  <c r="B79" i="10"/>
  <c r="B80" i="10" s="1"/>
  <c r="AF30" i="18" s="1"/>
  <c r="I4" i="14"/>
  <c r="I21" i="14" s="1"/>
  <c r="I31" i="13"/>
  <c r="B30" i="13"/>
  <c r="D29" i="13"/>
  <c r="B72" i="13" s="1"/>
  <c r="B74" i="13" s="1"/>
  <c r="AF14" i="18" s="1"/>
  <c r="B49" i="18"/>
  <c r="B43" i="11"/>
  <c r="F20" i="13" l="1"/>
  <c r="B49" i="13"/>
  <c r="B79" i="11"/>
  <c r="B80" i="11" s="1"/>
  <c r="AF31" i="18" s="1"/>
  <c r="B54" i="11"/>
  <c r="B56" i="11" s="1"/>
  <c r="U31" i="18" s="1"/>
  <c r="B43" i="12"/>
  <c r="B50" i="18"/>
  <c r="B44" i="11"/>
  <c r="K49" i="18" s="1"/>
  <c r="I31" i="14"/>
  <c r="B30" i="14"/>
  <c r="I4" i="15"/>
  <c r="I21" i="15" s="1"/>
  <c r="D29" i="14"/>
  <c r="B72" i="14" s="1"/>
  <c r="B74" i="14" s="1"/>
  <c r="AF15" i="18" s="1"/>
  <c r="B50" i="12"/>
  <c r="U13" i="18" s="1"/>
  <c r="B55" i="12"/>
  <c r="B32" i="13"/>
  <c r="K15" i="18" s="1"/>
  <c r="B42" i="13"/>
  <c r="B36" i="13"/>
  <c r="B38" i="13" s="1"/>
  <c r="K33" i="18" s="1"/>
  <c r="B44" i="12"/>
  <c r="K50" i="18" s="1"/>
  <c r="F20" i="14" l="1"/>
  <c r="B49" i="14"/>
  <c r="B55" i="13"/>
  <c r="B50" i="13"/>
  <c r="U14" i="18" s="1"/>
  <c r="D29" i="15"/>
  <c r="B72" i="15" s="1"/>
  <c r="B74" i="15" s="1"/>
  <c r="AF16" i="18" s="1"/>
  <c r="I31" i="15"/>
  <c r="B30" i="15"/>
  <c r="I4" i="16"/>
  <c r="I21" i="16" s="1"/>
  <c r="B36" i="14"/>
  <c r="B38" i="14" s="1"/>
  <c r="K34" i="18" s="1"/>
  <c r="B42" i="14"/>
  <c r="B32" i="14"/>
  <c r="K16" i="18" s="1"/>
  <c r="B54" i="12"/>
  <c r="B56" i="12" s="1"/>
  <c r="U32" i="18" s="1"/>
  <c r="B79" i="12"/>
  <c r="B80" i="12" s="1"/>
  <c r="AF32" i="18" s="1"/>
  <c r="B51" i="18"/>
  <c r="B43" i="13"/>
  <c r="B54" i="13" l="1"/>
  <c r="B56" i="13" s="1"/>
  <c r="U33" i="18" s="1"/>
  <c r="B79" i="13"/>
  <c r="B80" i="13" s="1"/>
  <c r="AF33" i="18" s="1"/>
  <c r="B42" i="15"/>
  <c r="B32" i="15"/>
  <c r="K17" i="18" s="1"/>
  <c r="B36" i="15"/>
  <c r="B38" i="15" s="1"/>
  <c r="K35" i="18" s="1"/>
  <c r="B55" i="14"/>
  <c r="B50" i="14"/>
  <c r="U15" i="18" s="1"/>
  <c r="B49" i="15"/>
  <c r="F20" i="15"/>
  <c r="B30" i="16"/>
  <c r="I4" i="17"/>
  <c r="I21" i="17" s="1"/>
  <c r="D29" i="16"/>
  <c r="B72" i="16" s="1"/>
  <c r="B74" i="16" s="1"/>
  <c r="AF17" i="18" s="1"/>
  <c r="I31" i="16"/>
  <c r="B44" i="13"/>
  <c r="K51" i="18" s="1"/>
  <c r="B52" i="18"/>
  <c r="B43" i="14"/>
  <c r="B44" i="14" s="1"/>
  <c r="K52" i="18" s="1"/>
  <c r="B30" i="17" l="1"/>
  <c r="D29" i="17"/>
  <c r="B72" i="17" s="1"/>
  <c r="B74" i="17" s="1"/>
  <c r="AF18" i="18" s="1"/>
  <c r="I31" i="17"/>
  <c r="B42" i="16"/>
  <c r="B32" i="16"/>
  <c r="K18" i="18" s="1"/>
  <c r="B36" i="16"/>
  <c r="B38" i="16" s="1"/>
  <c r="K36" i="18" s="1"/>
  <c r="F20" i="16"/>
  <c r="B49" i="16"/>
  <c r="B43" i="15"/>
  <c r="B44" i="15" s="1"/>
  <c r="K53" i="18" s="1"/>
  <c r="B53" i="18"/>
  <c r="B79" i="14"/>
  <c r="B80" i="14" s="1"/>
  <c r="AF34" i="18" s="1"/>
  <c r="B54" i="14"/>
  <c r="B56" i="14" s="1"/>
  <c r="U34" i="18" s="1"/>
  <c r="B50" i="15"/>
  <c r="U16" i="18" s="1"/>
  <c r="B55" i="15"/>
  <c r="B49" i="17" l="1"/>
  <c r="F20" i="17"/>
  <c r="B54" i="15"/>
  <c r="B56" i="15" s="1"/>
  <c r="U35" i="18" s="1"/>
  <c r="B79" i="15"/>
  <c r="B80" i="15" s="1"/>
  <c r="AF35" i="18" s="1"/>
  <c r="B54" i="18"/>
  <c r="B43" i="16"/>
  <c r="B50" i="16"/>
  <c r="U17" i="18" s="1"/>
  <c r="B55" i="16"/>
  <c r="B42" i="17"/>
  <c r="B36" i="17"/>
  <c r="B38" i="17" s="1"/>
  <c r="K37" i="18" s="1"/>
  <c r="B32" i="17"/>
  <c r="K19" i="18" s="1"/>
  <c r="B79" i="16" l="1"/>
  <c r="B80" i="16" s="1"/>
  <c r="AF36" i="18" s="1"/>
  <c r="B54" i="16"/>
  <c r="B56" i="16" s="1"/>
  <c r="U36" i="18" s="1"/>
  <c r="B43" i="17"/>
  <c r="B55" i="18"/>
  <c r="B44" i="16"/>
  <c r="K54" i="18" s="1"/>
  <c r="B55" i="17"/>
  <c r="B50" i="17"/>
  <c r="U18" i="18" s="1"/>
  <c r="B54" i="17" l="1"/>
  <c r="B56" i="17" s="1"/>
  <c r="U37" i="18" s="1"/>
  <c r="B79" i="17"/>
  <c r="B80" i="17" s="1"/>
  <c r="AF37" i="18" s="1"/>
  <c r="B44" i="17"/>
  <c r="K55" i="18" s="1"/>
</calcChain>
</file>

<file path=xl/sharedStrings.xml><?xml version="1.0" encoding="utf-8"?>
<sst xmlns="http://schemas.openxmlformats.org/spreadsheetml/2006/main" count="1749" uniqueCount="146">
  <si>
    <t>งวดที่ชำระ</t>
  </si>
  <si>
    <t>ร้อยละของเงินต้นชำระ</t>
  </si>
  <si>
    <t>เงินต้น</t>
  </si>
  <si>
    <t>ดอกเบี้ย 1%</t>
  </si>
  <si>
    <t>เงินต้น + ดอกเบี้ย</t>
  </si>
  <si>
    <t>รวม</t>
  </si>
  <si>
    <t>เงินเดือน</t>
  </si>
  <si>
    <t>เงินเดือนปีแรก</t>
  </si>
  <si>
    <t>1to3</t>
  </si>
  <si>
    <t>4to5</t>
  </si>
  <si>
    <t>6to10</t>
  </si>
  <si>
    <t>commission</t>
  </si>
  <si>
    <t>รายได้เสริมจากตำแหน่ง</t>
  </si>
  <si>
    <t>เงินเดือนได้รายเดือน</t>
  </si>
  <si>
    <t>เงินเดือนได้รายปี</t>
  </si>
  <si>
    <t>รายได้รวม</t>
  </si>
  <si>
    <t>รายได้รวมฉลี่ยต่อเดือน</t>
  </si>
  <si>
    <t>Junior Financial Advisor</t>
  </si>
  <si>
    <t>เงินออม</t>
  </si>
  <si>
    <t>อัตราส่วนสภาพคล้อง</t>
  </si>
  <si>
    <t>อัตราส่วนสภาพคล้องพื้นฐาน</t>
  </si>
  <si>
    <t>อัตราส่วนสินทรัพที่มีสภาพคล้องตามความมั่งคั่งสุทธิ</t>
  </si>
  <si>
    <t>สินทรัพย์สภาพคล่อง/หนี้ระยะสั้น</t>
  </si>
  <si>
    <t>สินทรัพย์สภาพคล่อง/กระแสเงินสดจ่ายต่อเดือน</t>
  </si>
  <si>
    <t>สินทรัพย์สภาพคล่อง/ความมั่งคั่งสุทธิ</t>
  </si>
  <si>
    <t>สินทรัพย์สภาพคล่อง</t>
  </si>
  <si>
    <t>หนี้ระยะสั้น</t>
  </si>
  <si>
    <t>กระแสเงินสดจ่ายต่อเดือน</t>
  </si>
  <si>
    <t>ความมั่งคั่งสุทธิ</t>
  </si>
  <si>
    <t>อัตราส่วนหนึ้สินต่อสินทรัพย์</t>
  </si>
  <si>
    <t>อัตราส่วนแสดงความสามารถการชำระหนี้คืนทั้งหทด</t>
  </si>
  <si>
    <t>อัตราส่วนแสดงการชำระหน้สินจากรายได้(รายปี)</t>
  </si>
  <si>
    <t>อัตราส่วนแสดงการชำระหน้สินจากรายได้(รายเดือน)</t>
  </si>
  <si>
    <t>หนี้สินรวม/สินทรัพย์รวม</t>
  </si>
  <si>
    <t>ความมั่งคั่งสุทธิ/สินทรัพย์รวม</t>
  </si>
  <si>
    <t>การชำระคืนหนี้สินต่อปี/รายรับรวมต่อปี</t>
  </si>
  <si>
    <t>การชำระคืนหนี้สินต่อเดือน/รายรับรวมต่อเดือน</t>
  </si>
  <si>
    <t>หนี้สินรวม</t>
  </si>
  <si>
    <t>การชำระคืนหนี้สินต่อปี</t>
  </si>
  <si>
    <t>การชำระคืนหนี้สินต่อเดือน</t>
  </si>
  <si>
    <t>สินทรัพย์รวม</t>
  </si>
  <si>
    <t>รายรับรวมต่อปี</t>
  </si>
  <si>
    <t>รายรับรวมต่อเดือน</t>
  </si>
  <si>
    <t>อัตราส่วนการออม</t>
  </si>
  <si>
    <t>อัตราส่วนการลงทุน</t>
  </si>
  <si>
    <t>เงินออม/รายได้รวม</t>
  </si>
  <si>
    <t>สินทรัพย์ที่ลงทุนรวม/ความมั่งคั่งสุทธิ</t>
  </si>
  <si>
    <t>สินทรัพย์ที่ลงทุนรวม</t>
  </si>
  <si>
    <t>เงินสด (Cash)</t>
  </si>
  <si>
    <t>ธนบัตร เหรียญในมือ</t>
  </si>
  <si>
    <t>เงินสดย่อยในบริษัทต่าง ๆ</t>
  </si>
  <si>
    <t>เงินฝากธนาคาร (Bank Deposits)</t>
  </si>
  <si>
    <t>บัญชีเงินฝากกระแสรายวัน (Demand Deposit)</t>
  </si>
  <si>
    <t>บัญชีเงินฝากออมทรัพย์ (Savings Deposit)</t>
  </si>
  <si>
    <t>หลักทรัพย์ที่ใกล้เคียงเงินสด (Cash Equivalents)</t>
  </si>
  <si>
    <t>ตั๋วเงินคลัง (Treasury Bills) ที่ใกล้ครบกำหนด</t>
  </si>
  <si>
    <t>ตั๋วสัญญาใช้เงิน (Commercial Papers) ที่มีคุณภาพสูง</t>
  </si>
  <si>
    <t>กองทุนรวมตลาดเงิน (Money Market Funds)</t>
  </si>
  <si>
    <t>พันธบัตรหรือหุ้นกู้ที่เหลืออายุต่ำมาก เช่น ไม่เกิน 3 เดือน และมีสภาพคล่องสูง</t>
  </si>
  <si>
    <t>เช็คที่รอขึ้นเงิน (Outstanding Checks / Checks on Hand)</t>
  </si>
  <si>
    <t>เช็คที่ได้รับมาแล้ว แต่ยังไม่ได้นำเข้าธนาคาร</t>
  </si>
  <si>
    <t>หนี้สินระยะสั้น (ชำระภายใน 1 ปี)</t>
  </si>
  <si>
    <t>กยศ.</t>
  </si>
  <si>
    <t>หนี้สินระยะยาว (ชำระเกิน 1 ปี)</t>
  </si>
  <si>
    <t>หนี้สินระยะยาว รวม</t>
  </si>
  <si>
    <t>หนี้สินระยะสั้น รวม</t>
  </si>
  <si>
    <t xml:space="preserve"> </t>
  </si>
  <si>
    <t>– ค่าเช่าที่พัก (คอนโด/บ้าน) =</t>
  </si>
  <si>
    <t>– อาหาร (ของสด/นอกบ้าน) =</t>
  </si>
  <si>
    <t>– เดินทาง (น้ำมัน/รถสาธารณะ) =</t>
  </si>
  <si>
    <t>– สาธารณูปโภค (เน็ต/มือถือ/ไฟ) =</t>
  </si>
  <si>
    <t>– สุขภาพ–ฟิตเนส =</t>
  </si>
  <si>
    <t>– สังสรรค์–ท่องเที่ยว =</t>
  </si>
  <si>
    <t>ประกันสังคม 2025</t>
  </si>
  <si>
    <t>เงินสูงสุดประกันสังคม</t>
  </si>
  <si>
    <t>ต่อเดือน</t>
  </si>
  <si>
    <t>ต่อปี</t>
  </si>
  <si>
    <t>ประกันสังคม 2026-2028</t>
  </si>
  <si>
    <t>ประกันสังคม 2029-2031</t>
  </si>
  <si>
    <t>ประกันสังคม 2032-2034</t>
  </si>
  <si>
    <t>ประกันสังคม</t>
  </si>
  <si>
    <t>month</t>
  </si>
  <si>
    <t>คอม</t>
  </si>
  <si>
    <t>ค่า เสื้อผ้าและอื่นๆ</t>
  </si>
  <si>
    <t>ปี</t>
  </si>
  <si>
    <t>เดือน</t>
  </si>
  <si>
    <t>ลงทุน</t>
  </si>
  <si>
    <t>เท่า</t>
  </si>
  <si>
    <t>วิน</t>
  </si>
  <si>
    <t>เทียว</t>
  </si>
  <si>
    <t>วันที่ทำงาน</t>
  </si>
  <si>
    <t>ปีหน่วยวัน</t>
  </si>
  <si>
    <t>อาทิตย์</t>
  </si>
  <si>
    <t>หยุดราชการ (นักขัตฤกษ์)</t>
  </si>
  <si>
    <t>วันอาทิตย์และวันหยุด</t>
  </si>
  <si>
    <t>กู้รถ</t>
  </si>
  <si>
    <t>กู้บ้าน</t>
  </si>
  <si>
    <t>รุ่นรถ</t>
  </si>
  <si>
    <t>บ้านเดี่ยว</t>
  </si>
  <si>
    <t>แถวที่ทำงาน</t>
  </si>
  <si>
    <t>ราคารถยนต์</t>
  </si>
  <si>
    <t>ราคาบ้าน</t>
  </si>
  <si>
    <t>เงินดาวน์</t>
  </si>
  <si>
    <t>วงเงินอนุมัติสินเชื่อ</t>
  </si>
  <si>
    <t>อัตราดอกเบี้ย</t>
  </si>
  <si>
    <t>ระยะเวลาผ่อนชำระ</t>
  </si>
  <si>
    <t>84 เดือน</t>
  </si>
  <si>
    <t>360 เดือน</t>
  </si>
  <si>
    <t>จำนวนเงินที่ต้องผ่อนชำระต่อเดือน</t>
  </si>
  <si>
    <t>จำนวนที่ต้องผ่อนชำระต่อเดือน</t>
  </si>
  <si>
    <t>จำนวนเงินที่ต้องผ่อนชำระทั้งหมด</t>
  </si>
  <si>
    <t>จำนวนเงินที่ต้องผ่อนชำระต่อปี</t>
  </si>
  <si>
    <t>Corolla Cross HEV Premium</t>
  </si>
  <si>
    <t>11to15</t>
  </si>
  <si>
    <t>บ้าน</t>
  </si>
  <si>
    <t>ค่าใช้จ่ายรวม</t>
  </si>
  <si>
    <t>เบี้ยประกันสุขภาพ</t>
  </si>
  <si>
    <t>ให้เงินเลี้ยงดูกับน้า</t>
  </si>
  <si>
    <t>ลดหย่อน</t>
  </si>
  <si>
    <t>หัก ค่าใช้จ่าย</t>
  </si>
  <si>
    <t>หัก ค่าลดหย่อน</t>
  </si>
  <si>
    <t>หัก ประกันสังคม</t>
  </si>
  <si>
    <t>เงินได้สุทธิ</t>
  </si>
  <si>
    <t>ช่วงเงินได้</t>
  </si>
  <si>
    <t>อัตราภาษี</t>
  </si>
  <si>
    <t>0-150,000</t>
  </si>
  <si>
    <t>150,001-300,000</t>
  </si>
  <si>
    <t>300,001-500,000</t>
  </si>
  <si>
    <t>500,001-750,000</t>
  </si>
  <si>
    <t>750,001-1,000,000</t>
  </si>
  <si>
    <t>1,000,001-2,000,000</t>
  </si>
  <si>
    <t>2,000,001-5,000,000</t>
  </si>
  <si>
    <t>5,000,001+</t>
  </si>
  <si>
    <t>ภาษี</t>
  </si>
  <si>
    <t>ssf</t>
  </si>
  <si>
    <t>rmf</t>
  </si>
  <si>
    <t>etf s&amp;p</t>
  </si>
  <si>
    <t>etf พัทธบัตร</t>
  </si>
  <si>
    <t>etf พัทธบัตร/ssf</t>
  </si>
  <si>
    <t>ssf/rmf</t>
  </si>
  <si>
    <t>ssf/rmf/etf พัทธบัตร</t>
  </si>
  <si>
    <t>รวมเฉลี่ย</t>
  </si>
  <si>
    <t>ETF พัทธบัตร</t>
  </si>
  <si>
    <t>ETF s&amp;p</t>
  </si>
  <si>
    <t>RMF-Global Bond</t>
  </si>
  <si>
    <t>SSF-ตราสารหนี้ไทย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</si>
</sst>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00_-;\-* #,##0.000_-;_-* &quot;-&quot;_-;_-@_-"/>
    <numFmt numFmtId="189" formatCode="_-* #,##0.00_-;\-* #,##0.00_-;_-* &quot;-&quot;_-;_-@_-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8"/>
      <color theme="1"/>
      <name val="Tahoma"/>
      <family val="2"/>
      <scheme val="minor"/>
    </font>
    <font>
      <sz val="16"/>
      <color rgb="FF00B050"/>
      <name val="Tahoma"/>
      <family val="2"/>
      <scheme val="minor"/>
    </font>
    <font>
      <b/>
      <sz val="22"/>
      <color theme="0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2" applyNumberFormat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4" borderId="3" xfId="0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187" fontId="0" fillId="0" borderId="3" xfId="1" applyNumberFormat="1" applyFont="1" applyBorder="1" applyAlignment="1">
      <alignment horizontal="center" vertical="center"/>
    </xf>
    <xf numFmtId="187" fontId="0" fillId="0" borderId="0" xfId="0" applyNumberFormat="1"/>
    <xf numFmtId="187" fontId="0" fillId="0" borderId="3" xfId="0" applyNumberFormat="1" applyBorder="1"/>
    <xf numFmtId="43" fontId="0" fillId="0" borderId="3" xfId="0" applyNumberFormat="1" applyBorder="1"/>
    <xf numFmtId="43" fontId="0" fillId="0" borderId="0" xfId="1" applyFont="1"/>
    <xf numFmtId="187" fontId="0" fillId="0" borderId="0" xfId="1" applyNumberFormat="1" applyFont="1"/>
    <xf numFmtId="187" fontId="0" fillId="0" borderId="3" xfId="1" applyNumberFormat="1" applyFont="1" applyBorder="1"/>
    <xf numFmtId="187" fontId="0" fillId="4" borderId="3" xfId="0" applyNumberFormat="1" applyFill="1" applyBorder="1" applyAlignment="1">
      <alignment horizontal="center" vertical="center"/>
    </xf>
    <xf numFmtId="187" fontId="0" fillId="0" borderId="0" xfId="1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16" fontId="0" fillId="0" borderId="0" xfId="0" applyNumberFormat="1"/>
    <xf numFmtId="0" fontId="0" fillId="0" borderId="0" xfId="1" applyNumberFormat="1" applyFont="1"/>
    <xf numFmtId="43" fontId="0" fillId="0" borderId="0" xfId="0" applyNumberFormat="1"/>
    <xf numFmtId="41" fontId="0" fillId="0" borderId="0" xfId="0" applyNumberFormat="1"/>
    <xf numFmtId="188" fontId="0" fillId="0" borderId="0" xfId="0" applyNumberFormat="1"/>
    <xf numFmtId="189" fontId="0" fillId="0" borderId="0" xfId="0" applyNumberFormat="1"/>
    <xf numFmtId="0" fontId="3" fillId="3" borderId="2" xfId="4"/>
    <xf numFmtId="41" fontId="3" fillId="3" borderId="2" xfId="4" applyNumberFormat="1"/>
    <xf numFmtId="0" fontId="2" fillId="2" borderId="1" xfId="3"/>
    <xf numFmtId="43" fontId="3" fillId="3" borderId="2" xfId="4" applyNumberForma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/>
    <xf numFmtId="0" fontId="4" fillId="0" borderId="0" xfId="0" applyFont="1" applyAlignment="1">
      <alignment vertical="center" wrapText="1"/>
    </xf>
    <xf numFmtId="9" fontId="0" fillId="0" borderId="0" xfId="0" applyNumberFormat="1" applyAlignment="1">
      <alignment vertical="center" wrapText="1"/>
    </xf>
    <xf numFmtId="9" fontId="0" fillId="0" borderId="0" xfId="2" applyFont="1"/>
    <xf numFmtId="10" fontId="0" fillId="0" borderId="0" xfId="2" applyNumberFormat="1" applyFont="1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43" fontId="3" fillId="3" borderId="2" xfId="1" applyFont="1" applyFill="1" applyBorder="1"/>
    <xf numFmtId="9" fontId="0" fillId="0" borderId="0" xfId="2" applyNumberFormat="1" applyFont="1"/>
    <xf numFmtId="0" fontId="0" fillId="0" borderId="3" xfId="0" applyBorder="1" applyAlignment="1">
      <alignment horizontal="center" vertical="center"/>
    </xf>
    <xf numFmtId="43" fontId="0" fillId="0" borderId="3" xfId="1" applyFont="1" applyBorder="1"/>
    <xf numFmtId="43" fontId="0" fillId="0" borderId="4" xfId="1" applyFont="1" applyBorder="1"/>
    <xf numFmtId="187" fontId="6" fillId="0" borderId="0" xfId="0" applyNumberFormat="1" applyFont="1"/>
    <xf numFmtId="187" fontId="7" fillId="6" borderId="5" xfId="1" applyNumberFormat="1" applyFont="1" applyFill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9" fontId="3" fillId="7" borderId="3" xfId="2" applyFont="1" applyFill="1" applyBorder="1" applyAlignment="1">
      <alignment horizontal="center" vertical="center"/>
    </xf>
    <xf numFmtId="187" fontId="2" fillId="2" borderId="1" xfId="3" applyNumberFormat="1"/>
    <xf numFmtId="0" fontId="0" fillId="0" borderId="0" xfId="0" applyAlignment="1">
      <alignment horizontal="center"/>
    </xf>
    <xf numFmtId="187" fontId="8" fillId="3" borderId="2" xfId="4" applyNumberFormat="1" applyFont="1"/>
    <xf numFmtId="0" fontId="0" fillId="0" borderId="3" xfId="0" applyFill="1" applyBorder="1"/>
    <xf numFmtId="0" fontId="0" fillId="0" borderId="0" xfId="0" applyFont="1"/>
  </cellXfs>
  <cellStyles count="5">
    <cellStyle name="Calculation" xfId="3" builtinId="22"/>
    <cellStyle name="Check Cell" xfId="4" builtinId="23"/>
    <cellStyle name="Comma" xfId="1" builtinId="3"/>
    <cellStyle name="Normal" xfId="0" builtinId="0"/>
    <cellStyle name="Percent" xfId="2" builtinId="5"/>
  </cellStyles>
  <dxfs count="285"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  <fill>
        <patternFill patternType="none">
          <bgColor auto="1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GRAPH!$B$4</c:f>
              <c:strCache>
                <c:ptCount val="1"/>
                <c:pt idx="0">
                  <c:v>ค่าใช้จ่ายรวม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GRAPH!$A$5:$A$19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GRAPH!$B$5:$B$19</c:f>
              <c:numCache>
                <c:formatCode>_(* #,##0.00_);_(* \(#,##0.00\);_(* "-"??_);_(@_)</c:formatCode>
                <c:ptCount val="15"/>
                <c:pt idx="0">
                  <c:v>405624</c:v>
                </c:pt>
                <c:pt idx="1">
                  <c:v>281968.40000000002</c:v>
                </c:pt>
                <c:pt idx="2">
                  <c:v>318584.30000000005</c:v>
                </c:pt>
                <c:pt idx="3">
                  <c:v>384918.44</c:v>
                </c:pt>
                <c:pt idx="4">
                  <c:v>413252.18150000001</c:v>
                </c:pt>
                <c:pt idx="5">
                  <c:v>417825.77802500001</c:v>
                </c:pt>
                <c:pt idx="6">
                  <c:v>580607.06376687507</c:v>
                </c:pt>
                <c:pt idx="7">
                  <c:v>596323.39600821876</c:v>
                </c:pt>
                <c:pt idx="8">
                  <c:v>647694.16467222967</c:v>
                </c:pt>
                <c:pt idx="9">
                  <c:v>838474.03718210559</c:v>
                </c:pt>
                <c:pt idx="10">
                  <c:v>855875.86460611201</c:v>
                </c:pt>
                <c:pt idx="11">
                  <c:v>958115.55867955287</c:v>
                </c:pt>
                <c:pt idx="12">
                  <c:v>1111484.8501277203</c:v>
                </c:pt>
                <c:pt idx="13">
                  <c:v>1001442.0740414208</c:v>
                </c:pt>
                <c:pt idx="14">
                  <c:v>1141660.6836813632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1B-4286-ABBA-0BDA4B2A5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452072"/>
        <c:axId val="364452432"/>
      </c:scatterChart>
      <c:valAx>
        <c:axId val="364452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64452432"/>
        <c:crosses val="autoZero"/>
        <c:crossBetween val="midCat"/>
      </c:valAx>
      <c:valAx>
        <c:axId val="36445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64452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GRAPH!$AF$3</c:f>
              <c:strCache>
                <c:ptCount val="1"/>
                <c:pt idx="0">
                  <c:v> เงินออม/รายได้รวม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GRAPH!$AE$4:$AE$18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GRAPH!$AF$4:$AF$18</c:f>
              <c:numCache>
                <c:formatCode>0%</c:formatCode>
                <c:ptCount val="15"/>
                <c:pt idx="0">
                  <c:v>0.18154963680387409</c:v>
                </c:pt>
                <c:pt idx="1">
                  <c:v>0.53621660863215337</c:v>
                </c:pt>
                <c:pt idx="2">
                  <c:v>0.84131459958748089</c:v>
                </c:pt>
                <c:pt idx="3">
                  <c:v>0.97186688293366552</c:v>
                </c:pt>
                <c:pt idx="4">
                  <c:v>1.0907982745838385</c:v>
                </c:pt>
                <c:pt idx="5">
                  <c:v>1.2029839524845058</c:v>
                </c:pt>
                <c:pt idx="6">
                  <c:v>0.82665666621764944</c:v>
                </c:pt>
                <c:pt idx="7">
                  <c:v>0.88940480268590583</c:v>
                </c:pt>
                <c:pt idx="8">
                  <c:v>0.94882492708615196</c:v>
                </c:pt>
                <c:pt idx="9">
                  <c:v>1.2228158253211961E-2</c:v>
                </c:pt>
                <c:pt idx="10">
                  <c:v>0.17225026709154581</c:v>
                </c:pt>
                <c:pt idx="11">
                  <c:v>0.33115728496133467</c:v>
                </c:pt>
                <c:pt idx="12">
                  <c:v>0.48402321558840905</c:v>
                </c:pt>
                <c:pt idx="13">
                  <c:v>0.71651223954739041</c:v>
                </c:pt>
                <c:pt idx="14">
                  <c:v>0.92374090209646675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DA-4D13-8DAA-9F1CE7215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3196408"/>
        <c:axId val="553194248"/>
      </c:scatterChart>
      <c:valAx>
        <c:axId val="553196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53194248"/>
        <c:crosses val="autoZero"/>
        <c:crossBetween val="midCat"/>
      </c:valAx>
      <c:valAx>
        <c:axId val="553194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53196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GRAPH!$AF$22</c:f>
              <c:strCache>
                <c:ptCount val="1"/>
                <c:pt idx="0">
                  <c:v> สินทรัพย์ที่ลงทุนรวม/ความมั่งคั่งสุทธิ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GRAPH!$AE$23:$AE$37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GRAPH!$AF$23:$AF$37</c:f>
              <c:numCache>
                <c:formatCode>0%</c:formatCode>
                <c:ptCount val="15"/>
                <c:pt idx="0">
                  <c:v>0</c:v>
                </c:pt>
                <c:pt idx="1">
                  <c:v>-0.57742044077109145</c:v>
                </c:pt>
                <c:pt idx="2">
                  <c:v>0.62389582554467959</c:v>
                </c:pt>
                <c:pt idx="3">
                  <c:v>0.51862798518111752</c:v>
                </c:pt>
                <c:pt idx="4">
                  <c:v>0.4913431476346859</c:v>
                </c:pt>
                <c:pt idx="5">
                  <c:v>0.49246744015928623</c:v>
                </c:pt>
                <c:pt idx="6">
                  <c:v>0.62235598395103853</c:v>
                </c:pt>
                <c:pt idx="7">
                  <c:v>0.50921568345203294</c:v>
                </c:pt>
                <c:pt idx="8">
                  <c:v>0.45144536664195206</c:v>
                </c:pt>
                <c:pt idx="9">
                  <c:v>0.76286496897683154</c:v>
                </c:pt>
                <c:pt idx="10">
                  <c:v>0.54401068387950746</c:v>
                </c:pt>
                <c:pt idx="11">
                  <c:v>0.44880205439930237</c:v>
                </c:pt>
                <c:pt idx="12">
                  <c:v>0.39975130604944953</c:v>
                </c:pt>
                <c:pt idx="13">
                  <c:v>0.37378450598788199</c:v>
                </c:pt>
                <c:pt idx="14">
                  <c:v>0.37000953071090881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C1-423B-8782-319CEBD9B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140752"/>
        <c:axId val="558143992"/>
      </c:scatterChart>
      <c:valAx>
        <c:axId val="558140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58143992"/>
        <c:crosses val="autoZero"/>
        <c:crossBetween val="midCat"/>
      </c:valAx>
      <c:valAx>
        <c:axId val="558143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58140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GRAPH!$B$40</c:f>
              <c:strCache>
                <c:ptCount val="1"/>
                <c:pt idx="0">
                  <c:v>ความมั่งคั่งสุทธิ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GRAPH!$A$41:$A$55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GRAPH!$B$41:$B$55</c:f>
              <c:numCache>
                <c:formatCode>_(* #,##0.00_);_(* \(#,##0.00\);_(* "-"??_);_(@_)</c:formatCode>
                <c:ptCount val="15"/>
                <c:pt idx="0">
                  <c:v>-329640.00000000006</c:v>
                </c:pt>
                <c:pt idx="1">
                  <c:v>-85468.400000000081</c:v>
                </c:pt>
                <c:pt idx="2">
                  <c:v>157455.99204199982</c:v>
                </c:pt>
                <c:pt idx="3">
                  <c:v>371714.61680696986</c:v>
                </c:pt>
                <c:pt idx="4">
                  <c:v>599274.80640416383</c:v>
                </c:pt>
                <c:pt idx="5">
                  <c:v>866702.34356785135</c:v>
                </c:pt>
                <c:pt idx="6">
                  <c:v>805038.82812156854</c:v>
                </c:pt>
                <c:pt idx="7">
                  <c:v>1187069.6617049417</c:v>
                </c:pt>
                <c:pt idx="8">
                  <c:v>1604243.2279176787</c:v>
                </c:pt>
                <c:pt idx="9">
                  <c:v>1066146.0393065307</c:v>
                </c:pt>
                <c:pt idx="10">
                  <c:v>1748943.6721245898</c:v>
                </c:pt>
                <c:pt idx="11">
                  <c:v>2579900.6763167996</c:v>
                </c:pt>
                <c:pt idx="12">
                  <c:v>3595825.9270884059</c:v>
                </c:pt>
                <c:pt idx="13">
                  <c:v>5182077.7951247878</c:v>
                </c:pt>
                <c:pt idx="14">
                  <c:v>7112552.9183066543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A4-44BF-B0BE-5BFA31E42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147592"/>
        <c:axId val="558142192"/>
      </c:scatterChart>
      <c:valAx>
        <c:axId val="558147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58142192"/>
        <c:crosses val="autoZero"/>
        <c:crossBetween val="midCat"/>
      </c:valAx>
      <c:valAx>
        <c:axId val="55814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58147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GRAPH!$B$58</c:f>
              <c:strCache>
                <c:ptCount val="1"/>
                <c:pt idx="0">
                  <c:v>ภาษี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GRAPH!$A$59:$A$73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GRAPH!$B$59:$B$73</c:f>
              <c:numCache>
                <c:formatCode>General</c:formatCode>
                <c:ptCount val="15"/>
                <c:pt idx="0">
                  <c:v>10160</c:v>
                </c:pt>
                <c:pt idx="1">
                  <c:v>12638</c:v>
                </c:pt>
                <c:pt idx="2">
                  <c:v>15239.900000000001</c:v>
                </c:pt>
                <c:pt idx="3">
                  <c:v>18653.240000000005</c:v>
                </c:pt>
                <c:pt idx="4">
                  <c:v>22305.381499999996</c:v>
                </c:pt>
                <c:pt idx="5">
                  <c:v>23984.578025000006</c:v>
                </c:pt>
                <c:pt idx="6">
                  <c:v>34574.663766875012</c:v>
                </c:pt>
                <c:pt idx="7">
                  <c:v>44842.996008218775</c:v>
                </c:pt>
                <c:pt idx="8">
                  <c:v>56604.164672229716</c:v>
                </c:pt>
                <c:pt idx="9">
                  <c:v>63732.033207165987</c:v>
                </c:pt>
                <c:pt idx="10">
                  <c:v>89601.060631172426</c:v>
                </c:pt>
                <c:pt idx="11">
                  <c:v>128346.35470461322</c:v>
                </c:pt>
                <c:pt idx="12">
                  <c:v>194259.64615278074</c:v>
                </c:pt>
                <c:pt idx="13">
                  <c:v>255243.2700664812</c:v>
                </c:pt>
                <c:pt idx="14">
                  <c:v>392082.67970642372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78-4E1E-B651-38E9D8EFA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3196408"/>
        <c:axId val="553194968"/>
      </c:scatterChart>
      <c:valAx>
        <c:axId val="553196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53194968"/>
        <c:crosses val="autoZero"/>
        <c:crossBetween val="midCat"/>
      </c:valAx>
      <c:valAx>
        <c:axId val="55319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53196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GRAPH!$B$76</c:f>
              <c:strCache>
                <c:ptCount val="1"/>
                <c:pt idx="0">
                  <c:v>สินทรัพย์รวม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GRAPH!$A$77:$A$91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GRAPH!$B$77:$B$91</c:f>
              <c:numCache>
                <c:formatCode>_(* #,##0.00_);_(* \(#,##0.00\);_(* "-"??_);_(@_)</c:formatCode>
                <c:ptCount val="15"/>
                <c:pt idx="0">
                  <c:v>89976</c:v>
                </c:pt>
                <c:pt idx="1">
                  <c:v>328387.59999999998</c:v>
                </c:pt>
                <c:pt idx="2">
                  <c:v>557929.59204199992</c:v>
                </c:pt>
                <c:pt idx="3">
                  <c:v>756981.81680696993</c:v>
                </c:pt>
                <c:pt idx="4">
                  <c:v>967530.80640416383</c:v>
                </c:pt>
                <c:pt idx="5">
                  <c:v>1216161.5435678514</c:v>
                </c:pt>
                <c:pt idx="6">
                  <c:v>2187042.8281215685</c:v>
                </c:pt>
                <c:pt idx="7">
                  <c:v>2396319.2617049417</c:v>
                </c:pt>
                <c:pt idx="8">
                  <c:v>2637090.4279176788</c:v>
                </c:pt>
                <c:pt idx="9">
                  <c:v>7249405.358554719</c:v>
                </c:pt>
                <c:pt idx="10">
                  <c:v>7570938.9873978384</c:v>
                </c:pt>
                <c:pt idx="11">
                  <c:v>8037099.1876151087</c:v>
                </c:pt>
                <c:pt idx="12">
                  <c:v>8684733.2344117761</c:v>
                </c:pt>
                <c:pt idx="13">
                  <c:v>9899237.8984732181</c:v>
                </c:pt>
                <c:pt idx="14">
                  <c:v>11604992.217680145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F3-4101-993F-5DE5F1F76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8049032"/>
        <c:axId val="668049392"/>
      </c:scatterChart>
      <c:valAx>
        <c:axId val="668049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68049392"/>
        <c:crosses val="autoZero"/>
        <c:crossBetween val="midCat"/>
      </c:valAx>
      <c:valAx>
        <c:axId val="66804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68049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GRAPH!$B$94</c:f>
              <c:strCache>
                <c:ptCount val="1"/>
                <c:pt idx="0">
                  <c:v>หนี้สินรวม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GRAPH!$A$95:$A$109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GRAPH!$B$95:$B$109</c:f>
              <c:numCache>
                <c:formatCode>General</c:formatCode>
                <c:ptCount val="15"/>
                <c:pt idx="0">
                  <c:v>419616.00000000006</c:v>
                </c:pt>
                <c:pt idx="1">
                  <c:v>413856.00000000006</c:v>
                </c:pt>
                <c:pt idx="2">
                  <c:v>400473.60000000009</c:v>
                </c:pt>
                <c:pt idx="3">
                  <c:v>385267.20000000007</c:v>
                </c:pt>
                <c:pt idx="4">
                  <c:v>368256.00000000006</c:v>
                </c:pt>
                <c:pt idx="5">
                  <c:v>349459.20000000007</c:v>
                </c:pt>
                <c:pt idx="6">
                  <c:v>1382004</c:v>
                </c:pt>
                <c:pt idx="7" formatCode="_(* #,##0.00_);_(* \(#,##0.00\);_(* &quot;-&quot;??_);_(@_)">
                  <c:v>1209249.6000000001</c:v>
                </c:pt>
                <c:pt idx="8" formatCode="_(* #,##0.00_);_(* \(#,##0.00\);_(* &quot;-&quot;??_);_(@_)">
                  <c:v>1032847.2000000001</c:v>
                </c:pt>
                <c:pt idx="9" formatCode="_(* #,##0.00_);_(* \(#,##0.00\);_(* &quot;-&quot;??_);_(@_)">
                  <c:v>6183259.3192481883</c:v>
                </c:pt>
                <c:pt idx="10" formatCode="_(* #,##0.00_);_(* \(#,##0.00\);_(* &quot;-&quot;??_);_(@_)">
                  <c:v>5821995.3152732486</c:v>
                </c:pt>
                <c:pt idx="11" formatCode="_(* #,##0.00_);_(* \(#,##0.00\);_(* &quot;-&quot;??_);_(@_)">
                  <c:v>5457198.5112983091</c:v>
                </c:pt>
                <c:pt idx="12" formatCode="_(* #,##0.00_);_(* \(#,##0.00\);_(* &quot;-&quot;??_);_(@_)">
                  <c:v>5088907.3073233701</c:v>
                </c:pt>
                <c:pt idx="13" formatCode="_(* #,##0.00_);_(* \(#,##0.00\);_(* &quot;-&quot;??_);_(@_)">
                  <c:v>4717160.1033484302</c:v>
                </c:pt>
                <c:pt idx="14" formatCode="_(* #,##0.00_);_(* \(#,##0.00\);_(* &quot;-&quot;??_);_(@_)">
                  <c:v>4492439.2993734907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59-4135-B304-33A90F2A1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799432"/>
        <c:axId val="645518808"/>
      </c:scatterChart>
      <c:valAx>
        <c:axId val="365799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45518808"/>
        <c:crosses val="autoZero"/>
        <c:crossBetween val="midCat"/>
      </c:valAx>
      <c:valAx>
        <c:axId val="645518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65799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GRAPH!$C$134</c:f>
              <c:strCache>
                <c:ptCount val="1"/>
                <c:pt idx="0">
                  <c:v>ลงทุน</c:v>
                </c:pt>
              </c:strCache>
            </c:strRef>
          </c:tx>
          <c:dPt>
            <c:idx val="0"/>
            <c:bubble3D val="0"/>
            <c:spPr>
              <a:pattFill prst="ltUpDiag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</c:dPt>
          <c:dPt>
            <c:idx val="1"/>
            <c:bubble3D val="0"/>
            <c:spPr>
              <a:pattFill prst="ltUpDiag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/>
                </a:innerShdw>
              </a:effectLst>
            </c:spPr>
          </c:dPt>
          <c:dPt>
            <c:idx val="2"/>
            <c:bubble3D val="0"/>
            <c:spPr>
              <a:pattFill prst="ltUpDiag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/>
                </a:innerShdw>
              </a:effectLst>
            </c:spPr>
          </c:dPt>
          <c:dPt>
            <c:idx val="3"/>
            <c:bubble3D val="0"/>
            <c:spPr>
              <a:pattFill prst="ltUpDiag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4"/>
                </a:innerShdw>
              </a:effectLst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GRAPH!$B$135:$B$138</c:f>
              <c:strCache>
                <c:ptCount val="4"/>
                <c:pt idx="0">
                  <c:v>ETF พัทธบัตร</c:v>
                </c:pt>
                <c:pt idx="1">
                  <c:v>ETF s&amp;p</c:v>
                </c:pt>
                <c:pt idx="2">
                  <c:v>SSF-ตราสารหนี้ไทย</c:v>
                </c:pt>
                <c:pt idx="3">
                  <c:v>RMF-Global Bond</c:v>
                </c:pt>
              </c:strCache>
            </c:strRef>
          </c:cat>
          <c:val>
            <c:numRef>
              <c:f>GRAPH!$C$135:$C$138</c:f>
              <c:numCache>
                <c:formatCode>General</c:formatCode>
                <c:ptCount val="4"/>
                <c:pt idx="0">
                  <c:v>640496.67376064986</c:v>
                </c:pt>
                <c:pt idx="1">
                  <c:v>440973.5943857258</c:v>
                </c:pt>
                <c:pt idx="2">
                  <c:v>992476.3613341481</c:v>
                </c:pt>
                <c:pt idx="3">
                  <c:v>557765.73797862651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B-4F07-95BA-43C0D07B8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GRAPH!$B$22</c:f>
              <c:strCache>
                <c:ptCount val="1"/>
                <c:pt idx="0">
                  <c:v>รายได้รวม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GRAPH!$A$23:$A$37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GRAPH!$B$23:$B$37</c:f>
              <c:numCache>
                <c:formatCode>_(* #,##0.00_);_(* \(#,##0.00\);_(* "-"??_);_(@_)</c:formatCode>
                <c:ptCount val="15"/>
                <c:pt idx="0">
                  <c:v>495600</c:v>
                </c:pt>
                <c:pt idx="1">
                  <c:v>520380</c:v>
                </c:pt>
                <c:pt idx="2">
                  <c:v>546399</c:v>
                </c:pt>
                <c:pt idx="3">
                  <c:v>580532.4</c:v>
                </c:pt>
                <c:pt idx="4">
                  <c:v>617053.81499999994</c:v>
                </c:pt>
                <c:pt idx="5">
                  <c:v>656150.78025000007</c:v>
                </c:pt>
                <c:pt idx="6">
                  <c:v>716164.42511250009</c:v>
                </c:pt>
                <c:pt idx="7">
                  <c:v>784619.97338812519</c:v>
                </c:pt>
                <c:pt idx="8">
                  <c:v>863027.76448153146</c:v>
                </c:pt>
                <c:pt idx="9">
                  <c:v>953191.30361440801</c:v>
                </c:pt>
                <c:pt idx="10" formatCode="General">
                  <c:v>1132484.8913397684</c:v>
                </c:pt>
                <c:pt idx="11" formatCode="General">
                  <c:v>1373396.7674692529</c:v>
                </c:pt>
                <c:pt idx="12" formatCode="General">
                  <c:v>1700069.29003021</c:v>
                </c:pt>
                <c:pt idx="13" formatCode="General">
                  <c:v>2146276.5123942127</c:v>
                </c:pt>
                <c:pt idx="14" formatCode="General">
                  <c:v>2759275.5990214124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C4-4C29-8B14-6468D4C57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8048672"/>
        <c:axId val="668049752"/>
      </c:scatterChart>
      <c:valAx>
        <c:axId val="668048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68049752"/>
        <c:crosses val="autoZero"/>
        <c:crossBetween val="midCat"/>
      </c:valAx>
      <c:valAx>
        <c:axId val="668049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68048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GRAPH!$K$4</c:f>
              <c:strCache>
                <c:ptCount val="1"/>
                <c:pt idx="0">
                  <c:v> สินทรัพย์สภาพคล่อง/หนี้ระยะสั้น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GRAPH!$J$5:$J$19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GRAPH!$K$5:$K$19</c:f>
              <c:numCache>
                <c:formatCode>General</c:formatCode>
                <c:ptCount val="15"/>
                <c:pt idx="0">
                  <c:v>15.620833333333334</c:v>
                </c:pt>
                <c:pt idx="1">
                  <c:v>20.850998236489716</c:v>
                </c:pt>
                <c:pt idx="2">
                  <c:v>30.230261988373314</c:v>
                </c:pt>
                <c:pt idx="3">
                  <c:v>33.166397081334644</c:v>
                </c:pt>
                <c:pt idx="4">
                  <c:v>35.808288470770293</c:v>
                </c:pt>
                <c:pt idx="5">
                  <c:v>38.385993378994392</c:v>
                </c:pt>
                <c:pt idx="6">
                  <c:v>3.426958133206325</c:v>
                </c:pt>
                <c:pt idx="7">
                  <c:v>3.9559823030451184</c:v>
                </c:pt>
                <c:pt idx="8">
                  <c:v>4.5489314918311763</c:v>
                </c:pt>
                <c:pt idx="9">
                  <c:v>3.2263867913590795E-2</c:v>
                </c:pt>
                <c:pt idx="10">
                  <c:v>0.53473830605110262</c:v>
                </c:pt>
                <c:pt idx="11">
                  <c:v>1.2349204645157339</c:v>
                </c:pt>
                <c:pt idx="12">
                  <c:v>2.213528429225248</c:v>
                </c:pt>
                <c:pt idx="13">
                  <c:v>6.8433067316501575</c:v>
                </c:pt>
                <c:pt idx="14">
                  <c:v>11.174290603049883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36-4DAD-9E18-DF2A0C74A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1904928"/>
        <c:axId val="641905648"/>
      </c:scatterChart>
      <c:valAx>
        <c:axId val="641904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41905648"/>
        <c:crosses val="autoZero"/>
        <c:crossBetween val="midCat"/>
      </c:valAx>
      <c:valAx>
        <c:axId val="64190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41904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115833333333333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GRAPH!$K$22</c:f>
              <c:strCache>
                <c:ptCount val="1"/>
                <c:pt idx="0">
                  <c:v> สินทรัพย์สภาพคล่อง/กระแสเงินสดจ่ายต่อเดือน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GRAPH!$J$23:$J$37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GRAPH!$K$23:$K$37</c:f>
              <c:numCache>
                <c:formatCode>General</c:formatCode>
                <c:ptCount val="15"/>
                <c:pt idx="0">
                  <c:v>2.6618543281462634</c:v>
                </c:pt>
                <c:pt idx="1">
                  <c:v>11.875220009050658</c:v>
                </c:pt>
                <c:pt idx="2">
                  <c:v>17.31510771497528</c:v>
                </c:pt>
                <c:pt idx="3">
                  <c:v>17.58918738307263</c:v>
                </c:pt>
                <c:pt idx="4">
                  <c:v>19.544905513653045</c:v>
                </c:pt>
                <c:pt idx="5">
                  <c:v>22.669894503360446</c:v>
                </c:pt>
                <c:pt idx="6">
                  <c:v>12.235926148460784</c:v>
                </c:pt>
                <c:pt idx="7">
                  <c:v>14.042946038060224</c:v>
                </c:pt>
                <c:pt idx="8">
                  <c:v>15.171276204816296</c:v>
                </c:pt>
                <c:pt idx="9">
                  <c:v>0.16681409688516199</c:v>
                </c:pt>
                <c:pt idx="10">
                  <c:v>2.735034362959027</c:v>
                </c:pt>
                <c:pt idx="11">
                  <c:v>5.6963109374814591</c:v>
                </c:pt>
                <c:pt idx="12">
                  <c:v>8.8840401672300242</c:v>
                </c:pt>
                <c:pt idx="13">
                  <c:v>18.427426972914656</c:v>
                </c:pt>
                <c:pt idx="14">
                  <c:v>26.791032755061842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CA-42CA-A728-44293C47D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269136"/>
        <c:axId val="643028912"/>
      </c:scatterChart>
      <c:valAx>
        <c:axId val="557269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43028912"/>
        <c:crosses val="autoZero"/>
        <c:crossBetween val="midCat"/>
      </c:valAx>
      <c:valAx>
        <c:axId val="64302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57269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GRAPH!$K$40</c:f>
              <c:strCache>
                <c:ptCount val="1"/>
                <c:pt idx="0">
                  <c:v> สินทรัพย์สภาพคล่อง/ความมั่งคั่งสุทธิ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GRAPH!$J$41:$J$55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GRAPH!$K$41:$K$55</c:f>
              <c:numCache>
                <c:formatCode>0.00%</c:formatCode>
                <c:ptCount val="15"/>
                <c:pt idx="0" formatCode="0%">
                  <c:v>-0.27295231161266831</c:v>
                </c:pt>
                <c:pt idx="1">
                  <c:v>-3.2647902476236794</c:v>
                </c:pt>
                <c:pt idx="2">
                  <c:v>2.9195043639709901</c:v>
                </c:pt>
                <c:pt idx="3">
                  <c:v>1.5178316604186355</c:v>
                </c:pt>
                <c:pt idx="4">
                  <c:v>1.1231595747634926</c:v>
                </c:pt>
                <c:pt idx="5" formatCode="0%">
                  <c:v>0.91073811546598482</c:v>
                </c:pt>
                <c:pt idx="6" formatCode="0%">
                  <c:v>0.73539570446380731</c:v>
                </c:pt>
                <c:pt idx="7" formatCode="0%">
                  <c:v>0.58787179482996732</c:v>
                </c:pt>
                <c:pt idx="8" formatCode="0%">
                  <c:v>0.51043522668966101</c:v>
                </c:pt>
                <c:pt idx="9" formatCode="0%">
                  <c:v>1.0932624308920971E-2</c:v>
                </c:pt>
                <c:pt idx="10" formatCode="0%">
                  <c:v>0.11153636799145528</c:v>
                </c:pt>
                <c:pt idx="11" formatCode="0%">
                  <c:v>0.17628986606534877</c:v>
                </c:pt>
                <c:pt idx="12" formatCode="0%">
                  <c:v>0.22884116783423342</c:v>
                </c:pt>
                <c:pt idx="13" formatCode="0%">
                  <c:v>0.29675999693217797</c:v>
                </c:pt>
                <c:pt idx="14" formatCode="0%">
                  <c:v>0.35836017815943871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C7-4E19-A704-7DAE7E45E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7336904"/>
        <c:axId val="677335464"/>
      </c:scatterChart>
      <c:valAx>
        <c:axId val="677336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77335464"/>
        <c:crosses val="autoZero"/>
        <c:crossBetween val="midCat"/>
      </c:valAx>
      <c:valAx>
        <c:axId val="677335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77336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GRAPH!$U$3</c:f>
              <c:strCache>
                <c:ptCount val="1"/>
                <c:pt idx="0">
                  <c:v> หนี้สินรวม/สินทรัพย์รวม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GRAPH!$T$4:$T$18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GRAPH!$U$4:$U$18</c:f>
              <c:numCache>
                <c:formatCode>0%</c:formatCode>
                <c:ptCount val="15"/>
                <c:pt idx="0">
                  <c:v>4.6636436383035482</c:v>
                </c:pt>
                <c:pt idx="1">
                  <c:v>1.2602668310252887</c:v>
                </c:pt>
                <c:pt idx="2" formatCode="0.00%">
                  <c:v>0.7177851931715663</c:v>
                </c:pt>
                <c:pt idx="3">
                  <c:v>0.50895172307453596</c:v>
                </c:pt>
                <c:pt idx="4">
                  <c:v>0.38061423735811212</c:v>
                </c:pt>
                <c:pt idx="5">
                  <c:v>0.2873460370854945</c:v>
                </c:pt>
                <c:pt idx="6">
                  <c:v>0.631905320842295</c:v>
                </c:pt>
                <c:pt idx="7">
                  <c:v>0.50462791804278984</c:v>
                </c:pt>
                <c:pt idx="8">
                  <c:v>0.3916616544755977</c:v>
                </c:pt>
                <c:pt idx="9">
                  <c:v>0.85293331155107555</c:v>
                </c:pt>
                <c:pt idx="10">
                  <c:v>0.76899250211423131</c:v>
                </c:pt>
                <c:pt idx="11">
                  <c:v>0.67900101565346649</c:v>
                </c:pt>
                <c:pt idx="12">
                  <c:v>0.58596011759571864</c:v>
                </c:pt>
                <c:pt idx="13">
                  <c:v>0.47651750081447869</c:v>
                </c:pt>
                <c:pt idx="14">
                  <c:v>0.38711265075467116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97-49C3-B218-963035684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151192"/>
        <c:axId val="558152632"/>
      </c:scatterChart>
      <c:valAx>
        <c:axId val="558151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58152632"/>
        <c:crosses val="autoZero"/>
        <c:crossBetween val="midCat"/>
      </c:valAx>
      <c:valAx>
        <c:axId val="558152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58151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GRAPH!$U$22</c:f>
              <c:strCache>
                <c:ptCount val="1"/>
                <c:pt idx="0">
                  <c:v> ความมั่งคั่งสุทธิ/สินทรัพย์รวม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GRAPH!$T$23:$T$37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GRAPH!$U$23:$U$37</c:f>
              <c:numCache>
                <c:formatCode>0%</c:formatCode>
                <c:ptCount val="15"/>
                <c:pt idx="0">
                  <c:v>-3.6636436383035482</c:v>
                </c:pt>
                <c:pt idx="1">
                  <c:v>-0.26026683102528869</c:v>
                </c:pt>
                <c:pt idx="2" formatCode="0.00%">
                  <c:v>0.2822148068284337</c:v>
                </c:pt>
                <c:pt idx="3">
                  <c:v>0.49104827692546404</c:v>
                </c:pt>
                <c:pt idx="4">
                  <c:v>0.61938576264188794</c:v>
                </c:pt>
                <c:pt idx="5">
                  <c:v>0.71265396291450545</c:v>
                </c:pt>
                <c:pt idx="6">
                  <c:v>0.368094679157705</c:v>
                </c:pt>
                <c:pt idx="7">
                  <c:v>0.49537208195721011</c:v>
                </c:pt>
                <c:pt idx="8">
                  <c:v>0.60833834552440225</c:v>
                </c:pt>
                <c:pt idx="9">
                  <c:v>0.14706668844892451</c:v>
                </c:pt>
                <c:pt idx="10">
                  <c:v>0.23100749788576869</c:v>
                </c:pt>
                <c:pt idx="11">
                  <c:v>0.32099898434653351</c:v>
                </c:pt>
                <c:pt idx="12">
                  <c:v>0.41403988240428136</c:v>
                </c:pt>
                <c:pt idx="13">
                  <c:v>0.52348249918552126</c:v>
                </c:pt>
                <c:pt idx="14">
                  <c:v>0.61288734924532884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90-4FD7-B38E-7A88DC9C1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799072"/>
        <c:axId val="365797272"/>
      </c:scatterChart>
      <c:valAx>
        <c:axId val="365799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65797272"/>
        <c:crosses val="autoZero"/>
        <c:crossBetween val="midCat"/>
      </c:valAx>
      <c:valAx>
        <c:axId val="36579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65799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GRAPH!$U$40</c:f>
              <c:strCache>
                <c:ptCount val="1"/>
                <c:pt idx="0">
                  <c:v> การชำระคืนหนี้สินต่อปี/รายรับรวมต่อปี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GRAPH!$T$41:$T$55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GRAPH!$U$41:$U$55</c:f>
              <c:numCache>
                <c:formatCode>0.00%</c:formatCode>
                <c:ptCount val="15"/>
                <c:pt idx="0">
                  <c:v>1.1622276029055689E-2</c:v>
                </c:pt>
                <c:pt idx="1">
                  <c:v>2.5716591721434336E-2</c:v>
                </c:pt>
                <c:pt idx="2">
                  <c:v>2.7830211987942877E-2</c:v>
                </c:pt>
                <c:pt idx="3">
                  <c:v>2.9302757262126972E-2</c:v>
                </c:pt>
                <c:pt idx="4">
                  <c:v>3.0462172898161242E-2</c:v>
                </c:pt>
                <c:pt idx="5">
                  <c:v>3.1339138226986814E-2</c:v>
                </c:pt>
                <c:pt idx="6">
                  <c:v>0.24122169985316225</c:v>
                </c:pt>
                <c:pt idx="7">
                  <c:v>0.22482527335910635</c:v>
                </c:pt>
                <c:pt idx="8">
                  <c:v>0.20858193375521722</c:v>
                </c:pt>
                <c:pt idx="9">
                  <c:v>0.37900472088348047</c:v>
                </c:pt>
                <c:pt idx="10">
                  <c:v>0.32212068060649579</c:v>
                </c:pt>
                <c:pt idx="11">
                  <c:v>0.26816082045510187</c:v>
                </c:pt>
                <c:pt idx="12">
                  <c:v>0.21866591329835366</c:v>
                </c:pt>
                <c:pt idx="13">
                  <c:v>0.10470263392309094</c:v>
                </c:pt>
                <c:pt idx="14">
                  <c:v>8.2666625999895091E-2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F0-4FEA-8A93-0FB1D8E7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608872"/>
        <c:axId val="106607432"/>
      </c:scatterChart>
      <c:valAx>
        <c:axId val="106608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06607432"/>
        <c:crosses val="autoZero"/>
        <c:crossBetween val="midCat"/>
      </c:valAx>
      <c:valAx>
        <c:axId val="106607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06608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GRAPH!$U$58</c:f>
              <c:strCache>
                <c:ptCount val="1"/>
                <c:pt idx="0">
                  <c:v> การชำระคืนหนี้สินต่อเดือน/รายรับรวมต่อเดือน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GRAPH!$T$59:$T$73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GRAPH!$U$59:$U$73</c:f>
              <c:numCache>
                <c:formatCode>0.00%</c:formatCode>
                <c:ptCount val="15"/>
                <c:pt idx="0">
                  <c:v>1.1622276029055689E-2</c:v>
                </c:pt>
                <c:pt idx="1">
                  <c:v>2.5716591721434336E-2</c:v>
                </c:pt>
                <c:pt idx="2">
                  <c:v>2.7830211987942877E-2</c:v>
                </c:pt>
                <c:pt idx="3">
                  <c:v>2.9302757262126972E-2</c:v>
                </c:pt>
                <c:pt idx="4">
                  <c:v>3.0462172898161239E-2</c:v>
                </c:pt>
                <c:pt idx="5">
                  <c:v>3.1339138226986814E-2</c:v>
                </c:pt>
                <c:pt idx="6">
                  <c:v>0.24122169985316225</c:v>
                </c:pt>
                <c:pt idx="7">
                  <c:v>0.22482527335910635</c:v>
                </c:pt>
                <c:pt idx="8">
                  <c:v>0.20858193375521719</c:v>
                </c:pt>
                <c:pt idx="9">
                  <c:v>0.37900472088348047</c:v>
                </c:pt>
                <c:pt idx="10">
                  <c:v>0.32212068060649579</c:v>
                </c:pt>
                <c:pt idx="11">
                  <c:v>0.26816082045510187</c:v>
                </c:pt>
                <c:pt idx="12">
                  <c:v>0.21866591329835369</c:v>
                </c:pt>
                <c:pt idx="13">
                  <c:v>0.10470263392309094</c:v>
                </c:pt>
                <c:pt idx="14">
                  <c:v>8.2666625999895091E-2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AC-42B3-A9FB-DDECD80B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343888"/>
        <c:axId val="491341728"/>
      </c:scatterChart>
      <c:valAx>
        <c:axId val="491343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91341728"/>
        <c:crosses val="autoZero"/>
        <c:crossBetween val="midCat"/>
      </c:valAx>
      <c:valAx>
        <c:axId val="49134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91343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642937</xdr:colOff>
      <xdr:row>4</xdr:row>
      <xdr:rowOff>23812</xdr:rowOff>
    </xdr:from>
    <xdr:to>
      <xdr:col>8</xdr:col>
      <xdr:colOff>14287</xdr:colOff>
      <xdr:row>19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677CEB-20D3-1CDC-A4CF-58A9EDA58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633412</xdr:colOff>
      <xdr:row>21</xdr:row>
      <xdr:rowOff>166687</xdr:rowOff>
    </xdr:from>
    <xdr:to>
      <xdr:col>8</xdr:col>
      <xdr:colOff>4762</xdr:colOff>
      <xdr:row>37</xdr:row>
      <xdr:rowOff>14287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01BFC5-E0E5-46D8-5098-F6B51A0684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4762</xdr:colOff>
      <xdr:row>3</xdr:row>
      <xdr:rowOff>157162</xdr:rowOff>
    </xdr:from>
    <xdr:to>
      <xdr:col>18</xdr:col>
      <xdr:colOff>604837</xdr:colOff>
      <xdr:row>19</xdr:row>
      <xdr:rowOff>4762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9C8E4C-FB10-1F10-0774-22CF9A2050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14287</xdr:colOff>
      <xdr:row>22</xdr:row>
      <xdr:rowOff>100012</xdr:rowOff>
    </xdr:from>
    <xdr:to>
      <xdr:col>18</xdr:col>
      <xdr:colOff>614362</xdr:colOff>
      <xdr:row>37</xdr:row>
      <xdr:rowOff>128587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326AE70-339C-1913-86C7-680828111D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852487</xdr:colOff>
      <xdr:row>40</xdr:row>
      <xdr:rowOff>61912</xdr:rowOff>
    </xdr:from>
    <xdr:to>
      <xdr:col>18</xdr:col>
      <xdr:colOff>585787</xdr:colOff>
      <xdr:row>55</xdr:row>
      <xdr:rowOff>90487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06FBF3A-E9CF-0485-DA1C-5249506BAF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271462</xdr:colOff>
      <xdr:row>3</xdr:row>
      <xdr:rowOff>14287</xdr:rowOff>
    </xdr:from>
    <xdr:to>
      <xdr:col>29</xdr:col>
      <xdr:colOff>42862</xdr:colOff>
      <xdr:row>18</xdr:row>
      <xdr:rowOff>42862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704627D-298C-73F6-F970-3B28D92B3F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33337</xdr:colOff>
      <xdr:row>22</xdr:row>
      <xdr:rowOff>61912</xdr:rowOff>
    </xdr:from>
    <xdr:to>
      <xdr:col>28</xdr:col>
      <xdr:colOff>490537</xdr:colOff>
      <xdr:row>37</xdr:row>
      <xdr:rowOff>90487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68C87F5-D1A9-0867-E623-1F4B5107E7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109537</xdr:colOff>
      <xdr:row>40</xdr:row>
      <xdr:rowOff>33337</xdr:rowOff>
    </xdr:from>
    <xdr:to>
      <xdr:col>28</xdr:col>
      <xdr:colOff>566737</xdr:colOff>
      <xdr:row>55</xdr:row>
      <xdr:rowOff>61912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79ABF8A-562A-1583-DE14-03242F18BD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90487</xdr:colOff>
      <xdr:row>58</xdr:row>
      <xdr:rowOff>52387</xdr:rowOff>
    </xdr:from>
    <xdr:to>
      <xdr:col>28</xdr:col>
      <xdr:colOff>547687</xdr:colOff>
      <xdr:row>73</xdr:row>
      <xdr:rowOff>80962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34C4E36-3C1F-08C4-61BA-96146F8DD5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538162</xdr:colOff>
      <xdr:row>3</xdr:row>
      <xdr:rowOff>52387</xdr:rowOff>
    </xdr:from>
    <xdr:to>
      <xdr:col>39</xdr:col>
      <xdr:colOff>309562</xdr:colOff>
      <xdr:row>18</xdr:row>
      <xdr:rowOff>80962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D195346D-4616-B506-D8F6-BF7CED97D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32</xdr:col>
      <xdr:colOff>671512</xdr:colOff>
      <xdr:row>22</xdr:row>
      <xdr:rowOff>71437</xdr:rowOff>
    </xdr:from>
    <xdr:to>
      <xdr:col>39</xdr:col>
      <xdr:colOff>442912</xdr:colOff>
      <xdr:row>37</xdr:row>
      <xdr:rowOff>100012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B855EE7-C5DE-1C14-71C7-C9BD7CF645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518583</xdr:colOff>
      <xdr:row>38</xdr:row>
      <xdr:rowOff>88900</xdr:rowOff>
    </xdr:from>
    <xdr:to>
      <xdr:col>8</xdr:col>
      <xdr:colOff>148167</xdr:colOff>
      <xdr:row>54</xdr:row>
      <xdr:rowOff>52917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C953D01-FABE-3DD3-92DD-8309480BA5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488884</xdr:colOff>
      <xdr:row>58</xdr:row>
      <xdr:rowOff>18273</xdr:rowOff>
    </xdr:from>
    <xdr:to>
      <xdr:col>7</xdr:col>
      <xdr:colOff>735756</xdr:colOff>
      <xdr:row>72</xdr:row>
      <xdr:rowOff>176116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C94E9372-97B2-B29F-D490-C57F6C55F5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444500</xdr:colOff>
      <xdr:row>75</xdr:row>
      <xdr:rowOff>9525</xdr:rowOff>
    </xdr:from>
    <xdr:to>
      <xdr:col>7</xdr:col>
      <xdr:colOff>650875</xdr:colOff>
      <xdr:row>90</xdr:row>
      <xdr:rowOff>133350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B5609A1-DBE2-74CB-8DC0-4B2232D212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604951</xdr:colOff>
      <xdr:row>94</xdr:row>
      <xdr:rowOff>18596</xdr:rowOff>
    </xdr:from>
    <xdr:to>
      <xdr:col>7</xdr:col>
      <xdr:colOff>811326</xdr:colOff>
      <xdr:row>109</xdr:row>
      <xdr:rowOff>146390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8DBE8ED2-169D-690A-1D10-88ED6E0EA0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481770</xdr:colOff>
      <xdr:row>130</xdr:row>
      <xdr:rowOff>153778</xdr:rowOff>
    </xdr:from>
    <xdr:to>
      <xdr:col>9</xdr:col>
      <xdr:colOff>621196</xdr:colOff>
      <xdr:row>153</xdr:row>
      <xdr:rowOff>165651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C43BF07C-FE43-6D06-1B89-8EE9C2A060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FD9F-E987-4E44-ABA3-7796FDF4C81F}">
  <dimension ref="A1:P164"/>
  <sheetViews>
    <sheetView topLeftCell="A127" workbookViewId="0">
      <selection activeCell="E146" sqref="E146"/>
    </sheetView>
  </sheetViews>
  <sheetFormatPr defaultRowHeight="14.25" x14ac:dyDescent="0.2"/>
  <cols>
    <col min="1" max="1" width="10.625" customWidth="1"/>
    <col min="2" max="2" width="28.375" customWidth="1"/>
    <col min="3" max="3" width="23.375" customWidth="1"/>
    <col min="4" max="4" width="17.75" bestFit="1" customWidth="1"/>
    <col min="5" max="5" width="26.25" bestFit="1" customWidth="1"/>
    <col min="6" max="7" width="14.75" bestFit="1" customWidth="1"/>
    <col min="8" max="8" width="12.875" customWidth="1"/>
    <col min="9" max="9" width="10.125" customWidth="1"/>
    <col min="10" max="10" width="11.625" bestFit="1" customWidth="1"/>
    <col min="16" max="16" width="10.25" customWidth="1"/>
  </cols>
  <sheetData>
    <row r="1" spans="3:14" ht="22.5" customHeight="1" x14ac:dyDescent="0.2">
      <c r="E1" s="2">
        <v>0.01</v>
      </c>
      <c r="F1">
        <v>0.01</v>
      </c>
    </row>
    <row r="2" spans="3:14" ht="28.5" customHeight="1" x14ac:dyDescent="0.2"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3:14" ht="20.25" customHeight="1" x14ac:dyDescent="0.2">
      <c r="C3" s="3">
        <v>1</v>
      </c>
      <c r="D3" s="3">
        <v>1.4999999999999999E-2</v>
      </c>
      <c r="E3" s="7">
        <f t="shared" ref="E3:E17" si="0">$D$21*D3</f>
        <v>5760</v>
      </c>
      <c r="F3" s="13">
        <v>0</v>
      </c>
      <c r="G3" s="9">
        <f t="shared" ref="G3:G17" si="1">E3+F3</f>
        <v>5760</v>
      </c>
      <c r="I3" s="12">
        <f>D21-E3</f>
        <v>378240</v>
      </c>
      <c r="K3" s="16">
        <f>N10</f>
        <v>384000</v>
      </c>
    </row>
    <row r="4" spans="3:14" ht="20.25" customHeight="1" x14ac:dyDescent="0.2">
      <c r="C4" s="3">
        <v>2</v>
      </c>
      <c r="D4" s="3">
        <v>2.5000000000000001E-2</v>
      </c>
      <c r="E4" s="7">
        <f t="shared" si="0"/>
        <v>9600</v>
      </c>
      <c r="F4" s="13">
        <f t="shared" ref="F4:F17" si="2">I3*$F$1</f>
        <v>3782.4</v>
      </c>
      <c r="G4" s="9">
        <f t="shared" si="1"/>
        <v>13382.4</v>
      </c>
      <c r="I4" s="12">
        <f t="shared" ref="I4:I17" si="3">I3-E4</f>
        <v>368640</v>
      </c>
    </row>
    <row r="5" spans="3:14" ht="20.25" customHeight="1" x14ac:dyDescent="0.2">
      <c r="C5" s="3">
        <v>3</v>
      </c>
      <c r="D5" s="3">
        <v>0.03</v>
      </c>
      <c r="E5" s="7">
        <f t="shared" si="0"/>
        <v>11520</v>
      </c>
      <c r="F5" s="13">
        <f t="shared" si="2"/>
        <v>3686.4</v>
      </c>
      <c r="G5" s="9">
        <f t="shared" si="1"/>
        <v>15206.4</v>
      </c>
      <c r="I5" s="12">
        <f t="shared" si="3"/>
        <v>357120</v>
      </c>
      <c r="L5">
        <v>60000</v>
      </c>
      <c r="M5">
        <v>36000</v>
      </c>
      <c r="N5">
        <f>L5+M5</f>
        <v>96000</v>
      </c>
    </row>
    <row r="6" spans="3:14" ht="20.25" customHeight="1" x14ac:dyDescent="0.2">
      <c r="C6" s="3">
        <v>4</v>
      </c>
      <c r="D6" s="3">
        <v>3.5000000000000003E-2</v>
      </c>
      <c r="E6" s="7">
        <f t="shared" si="0"/>
        <v>13440.000000000002</v>
      </c>
      <c r="F6" s="13">
        <f t="shared" si="2"/>
        <v>3571.2000000000003</v>
      </c>
      <c r="G6" s="9">
        <f t="shared" si="1"/>
        <v>17011.2</v>
      </c>
      <c r="I6" s="12">
        <f t="shared" si="3"/>
        <v>343680</v>
      </c>
      <c r="L6">
        <v>60000</v>
      </c>
      <c r="M6">
        <v>36000</v>
      </c>
      <c r="N6">
        <f>L6+M6</f>
        <v>96000</v>
      </c>
    </row>
    <row r="7" spans="3:14" ht="20.25" customHeight="1" x14ac:dyDescent="0.2">
      <c r="C7" s="3">
        <v>5</v>
      </c>
      <c r="D7" s="3">
        <v>0.04</v>
      </c>
      <c r="E7" s="7">
        <f t="shared" si="0"/>
        <v>15360</v>
      </c>
      <c r="F7" s="13">
        <f t="shared" si="2"/>
        <v>3436.8</v>
      </c>
      <c r="G7" s="9">
        <f t="shared" si="1"/>
        <v>18796.8</v>
      </c>
      <c r="I7" s="12">
        <f t="shared" si="3"/>
        <v>328320</v>
      </c>
      <c r="L7">
        <v>60000</v>
      </c>
      <c r="M7">
        <v>36000</v>
      </c>
      <c r="N7">
        <f>L7+M7</f>
        <v>96000</v>
      </c>
    </row>
    <row r="8" spans="3:14" ht="20.25" customHeight="1" x14ac:dyDescent="0.2">
      <c r="C8" s="3">
        <v>6</v>
      </c>
      <c r="D8" s="3">
        <v>4.4999999999999998E-2</v>
      </c>
      <c r="E8" s="7">
        <f t="shared" si="0"/>
        <v>17280</v>
      </c>
      <c r="F8" s="13">
        <f t="shared" si="2"/>
        <v>3283.2000000000003</v>
      </c>
      <c r="G8" s="9">
        <f t="shared" si="1"/>
        <v>20563.2</v>
      </c>
      <c r="I8" s="12">
        <f t="shared" si="3"/>
        <v>311040</v>
      </c>
      <c r="L8">
        <v>60000</v>
      </c>
      <c r="M8">
        <v>36000</v>
      </c>
      <c r="N8">
        <f>L8+M8</f>
        <v>96000</v>
      </c>
    </row>
    <row r="9" spans="3:14" ht="20.25" customHeight="1" x14ac:dyDescent="0.2">
      <c r="C9" s="3">
        <v>7</v>
      </c>
      <c r="D9" s="3">
        <v>0.05</v>
      </c>
      <c r="E9" s="7">
        <f t="shared" si="0"/>
        <v>19200</v>
      </c>
      <c r="F9" s="13">
        <f t="shared" si="2"/>
        <v>3110.4</v>
      </c>
      <c r="G9" s="9">
        <f t="shared" si="1"/>
        <v>22310.400000000001</v>
      </c>
      <c r="I9" s="12">
        <f t="shared" si="3"/>
        <v>291840</v>
      </c>
    </row>
    <row r="10" spans="3:14" ht="20.25" customHeight="1" x14ac:dyDescent="0.2">
      <c r="C10" s="3">
        <v>8</v>
      </c>
      <c r="D10" s="3">
        <v>0.06</v>
      </c>
      <c r="E10" s="7">
        <f t="shared" si="0"/>
        <v>23040</v>
      </c>
      <c r="F10" s="13">
        <f t="shared" si="2"/>
        <v>2918.4</v>
      </c>
      <c r="G10" s="9">
        <f t="shared" si="1"/>
        <v>25958.400000000001</v>
      </c>
      <c r="I10" s="12">
        <f t="shared" si="3"/>
        <v>268800</v>
      </c>
      <c r="N10">
        <f>SUM(N5:N8)</f>
        <v>384000</v>
      </c>
    </row>
    <row r="11" spans="3:14" ht="20.25" customHeight="1" x14ac:dyDescent="0.2">
      <c r="C11" s="3">
        <v>9</v>
      </c>
      <c r="D11" s="3">
        <v>7.0000000000000007E-2</v>
      </c>
      <c r="E11" s="7">
        <f t="shared" si="0"/>
        <v>26880.000000000004</v>
      </c>
      <c r="F11" s="13">
        <f t="shared" si="2"/>
        <v>2688</v>
      </c>
      <c r="G11" s="9">
        <f t="shared" si="1"/>
        <v>29568.000000000004</v>
      </c>
      <c r="I11" s="12">
        <f t="shared" si="3"/>
        <v>241920</v>
      </c>
    </row>
    <row r="12" spans="3:14" ht="20.25" customHeight="1" x14ac:dyDescent="0.2">
      <c r="C12" s="3">
        <v>10</v>
      </c>
      <c r="D12" s="3">
        <v>0.08</v>
      </c>
      <c r="E12" s="7">
        <f t="shared" si="0"/>
        <v>30720</v>
      </c>
      <c r="F12" s="13">
        <f t="shared" si="2"/>
        <v>2419.2000000000003</v>
      </c>
      <c r="G12" s="9">
        <f t="shared" si="1"/>
        <v>33139.199999999997</v>
      </c>
      <c r="I12" s="12">
        <f t="shared" si="3"/>
        <v>211200</v>
      </c>
    </row>
    <row r="13" spans="3:14" ht="20.25" customHeight="1" x14ac:dyDescent="0.2">
      <c r="C13" s="3">
        <v>11</v>
      </c>
      <c r="D13" s="3">
        <v>0.09</v>
      </c>
      <c r="E13" s="7">
        <f t="shared" si="0"/>
        <v>34560</v>
      </c>
      <c r="F13" s="13">
        <f t="shared" si="2"/>
        <v>2112</v>
      </c>
      <c r="G13" s="9">
        <f t="shared" si="1"/>
        <v>36672</v>
      </c>
      <c r="I13" s="12">
        <f t="shared" si="3"/>
        <v>176640</v>
      </c>
    </row>
    <row r="14" spans="3:14" ht="20.25" customHeight="1" x14ac:dyDescent="0.2">
      <c r="C14" s="3">
        <v>12</v>
      </c>
      <c r="D14" s="3">
        <v>0.1</v>
      </c>
      <c r="E14" s="7">
        <f t="shared" si="0"/>
        <v>38400</v>
      </c>
      <c r="F14" s="13">
        <f t="shared" si="2"/>
        <v>1766.4</v>
      </c>
      <c r="G14" s="9">
        <f t="shared" si="1"/>
        <v>40166.400000000001</v>
      </c>
      <c r="I14" s="12">
        <f t="shared" si="3"/>
        <v>138240</v>
      </c>
    </row>
    <row r="15" spans="3:14" ht="20.25" customHeight="1" x14ac:dyDescent="0.2">
      <c r="C15" s="3">
        <v>13</v>
      </c>
      <c r="D15" s="3">
        <v>0.11</v>
      </c>
      <c r="E15" s="7">
        <f t="shared" si="0"/>
        <v>42240</v>
      </c>
      <c r="F15" s="13">
        <f t="shared" si="2"/>
        <v>1382.4</v>
      </c>
      <c r="G15" s="9">
        <f t="shared" si="1"/>
        <v>43622.400000000001</v>
      </c>
      <c r="I15" s="12">
        <f t="shared" si="3"/>
        <v>96000</v>
      </c>
    </row>
    <row r="16" spans="3:14" ht="20.25" customHeight="1" x14ac:dyDescent="0.2">
      <c r="C16" s="3">
        <v>14</v>
      </c>
      <c r="D16" s="3">
        <v>0.12</v>
      </c>
      <c r="E16" s="7">
        <f t="shared" si="0"/>
        <v>46080</v>
      </c>
      <c r="F16" s="13">
        <f t="shared" si="2"/>
        <v>960</v>
      </c>
      <c r="G16" s="9">
        <f t="shared" si="1"/>
        <v>47040</v>
      </c>
      <c r="I16" s="12">
        <f t="shared" si="3"/>
        <v>49920</v>
      </c>
    </row>
    <row r="17" spans="3:13" ht="20.25" customHeight="1" x14ac:dyDescent="0.2">
      <c r="C17" s="3">
        <v>15</v>
      </c>
      <c r="D17" s="3">
        <v>0.13</v>
      </c>
      <c r="E17" s="7">
        <f t="shared" si="0"/>
        <v>49920</v>
      </c>
      <c r="F17" s="13">
        <f t="shared" si="2"/>
        <v>499.2</v>
      </c>
      <c r="G17" s="9">
        <f t="shared" si="1"/>
        <v>50419.199999999997</v>
      </c>
      <c r="I17" s="12">
        <f t="shared" si="3"/>
        <v>0</v>
      </c>
    </row>
    <row r="18" spans="3:13" ht="27" customHeight="1" x14ac:dyDescent="0.2">
      <c r="C18" s="5" t="s">
        <v>5</v>
      </c>
      <c r="D18" s="6">
        <v>1</v>
      </c>
      <c r="E18" s="14">
        <f>SUM(E3:E17)</f>
        <v>384000</v>
      </c>
      <c r="F18" s="14">
        <f>SUM(F3:F17)</f>
        <v>35616</v>
      </c>
      <c r="G18" s="14">
        <f>SUM(G3:G17)</f>
        <v>419616.00000000006</v>
      </c>
    </row>
    <row r="21" spans="3:13" x14ac:dyDescent="0.2">
      <c r="D21" s="15">
        <f>K3</f>
        <v>384000</v>
      </c>
      <c r="L21">
        <v>2100</v>
      </c>
    </row>
    <row r="23" spans="3:13" x14ac:dyDescent="0.2">
      <c r="G23">
        <f>G25+G26</f>
        <v>10300</v>
      </c>
      <c r="L23">
        <f>L21</f>
        <v>2100</v>
      </c>
    </row>
    <row r="24" spans="3:13" x14ac:dyDescent="0.2">
      <c r="L24">
        <f>L21</f>
        <v>2100</v>
      </c>
    </row>
    <row r="25" spans="3:13" x14ac:dyDescent="0.2">
      <c r="G25">
        <f>SUM(L23:L25)</f>
        <v>6300</v>
      </c>
      <c r="L25">
        <f>L21</f>
        <v>2100</v>
      </c>
    </row>
    <row r="26" spans="3:13" x14ac:dyDescent="0.2">
      <c r="G26">
        <v>4000</v>
      </c>
      <c r="I26" s="17" t="s">
        <v>8</v>
      </c>
      <c r="J26">
        <v>1.05</v>
      </c>
    </row>
    <row r="27" spans="3:13" x14ac:dyDescent="0.2">
      <c r="I27" t="s">
        <v>9</v>
      </c>
      <c r="J27">
        <v>1.1000000000000001</v>
      </c>
    </row>
    <row r="28" spans="3:13" x14ac:dyDescent="0.2">
      <c r="I28" t="s">
        <v>10</v>
      </c>
      <c r="J28">
        <v>1.2</v>
      </c>
    </row>
    <row r="29" spans="3:13" x14ac:dyDescent="0.2">
      <c r="E29">
        <v>1.05</v>
      </c>
      <c r="F29">
        <v>12</v>
      </c>
      <c r="I29" t="s">
        <v>113</v>
      </c>
      <c r="J29">
        <v>1.4</v>
      </c>
    </row>
    <row r="30" spans="3:13" x14ac:dyDescent="0.2">
      <c r="E30" s="1" t="s">
        <v>6</v>
      </c>
      <c r="G30" t="s">
        <v>11</v>
      </c>
    </row>
    <row r="31" spans="3:13" ht="19.5" customHeight="1" x14ac:dyDescent="0.2">
      <c r="C31">
        <v>23</v>
      </c>
      <c r="D31" s="1">
        <v>1</v>
      </c>
      <c r="E31" s="12">
        <f>M31</f>
        <v>31000</v>
      </c>
      <c r="F31" s="8">
        <f t="shared" ref="F31:F40" si="4">E31*$F$29</f>
        <v>372000</v>
      </c>
      <c r="G31" s="12">
        <f>$G$23*$F$29</f>
        <v>123600</v>
      </c>
      <c r="H31" s="8">
        <f>F31+G31</f>
        <v>495600</v>
      </c>
      <c r="I31" s="8">
        <f>H31/$F$29</f>
        <v>41300</v>
      </c>
      <c r="L31" t="s">
        <v>7</v>
      </c>
      <c r="M31">
        <v>31000</v>
      </c>
    </row>
    <row r="32" spans="3:13" ht="19.5" customHeight="1" x14ac:dyDescent="0.2">
      <c r="C32">
        <v>24</v>
      </c>
      <c r="D32" s="1">
        <v>2</v>
      </c>
      <c r="E32" s="12">
        <f t="shared" ref="E32:E40" si="5">E31*$E$29</f>
        <v>32550</v>
      </c>
      <c r="F32" s="8">
        <f t="shared" si="4"/>
        <v>390600</v>
      </c>
      <c r="G32" s="12">
        <f>G31*$J$26</f>
        <v>129780</v>
      </c>
      <c r="H32" s="8">
        <f t="shared" ref="H32:H45" si="6">F32+G32</f>
        <v>520380</v>
      </c>
      <c r="I32" s="8">
        <f t="shared" ref="I32:I45" si="7">H32/$F$29</f>
        <v>43365</v>
      </c>
    </row>
    <row r="33" spans="3:9" ht="19.5" customHeight="1" x14ac:dyDescent="0.2">
      <c r="C33">
        <v>25</v>
      </c>
      <c r="D33" s="1">
        <v>3</v>
      </c>
      <c r="E33" s="12">
        <f t="shared" si="5"/>
        <v>34177.5</v>
      </c>
      <c r="F33" s="8">
        <f t="shared" si="4"/>
        <v>410130</v>
      </c>
      <c r="G33" s="12">
        <f>G32*$J$26</f>
        <v>136269</v>
      </c>
      <c r="H33" s="8">
        <f t="shared" si="6"/>
        <v>546399</v>
      </c>
      <c r="I33" s="8">
        <f t="shared" si="7"/>
        <v>45533.25</v>
      </c>
    </row>
    <row r="34" spans="3:9" ht="19.5" customHeight="1" x14ac:dyDescent="0.2">
      <c r="C34">
        <v>26</v>
      </c>
      <c r="D34" s="1">
        <v>4</v>
      </c>
      <c r="E34" s="12">
        <f t="shared" si="5"/>
        <v>35886.375</v>
      </c>
      <c r="F34" s="8">
        <f t="shared" si="4"/>
        <v>430636.5</v>
      </c>
      <c r="G34" s="12">
        <f>G33*$J$27</f>
        <v>149895.90000000002</v>
      </c>
      <c r="H34" s="8">
        <f t="shared" si="6"/>
        <v>580532.4</v>
      </c>
      <c r="I34" s="8">
        <f t="shared" si="7"/>
        <v>48377.700000000004</v>
      </c>
    </row>
    <row r="35" spans="3:9" ht="19.5" customHeight="1" x14ac:dyDescent="0.2">
      <c r="C35">
        <v>27</v>
      </c>
      <c r="D35" s="1">
        <v>5</v>
      </c>
      <c r="E35" s="12">
        <f t="shared" si="5"/>
        <v>37680.693749999999</v>
      </c>
      <c r="F35" s="8">
        <f t="shared" si="4"/>
        <v>452168.32499999995</v>
      </c>
      <c r="G35" s="12">
        <f>G34*$J$27</f>
        <v>164885.49000000005</v>
      </c>
      <c r="H35" s="8">
        <f t="shared" si="6"/>
        <v>617053.81499999994</v>
      </c>
      <c r="I35" s="8">
        <f t="shared" si="7"/>
        <v>51421.151249999995</v>
      </c>
    </row>
    <row r="36" spans="3:9" ht="19.5" customHeight="1" x14ac:dyDescent="0.2">
      <c r="C36">
        <v>28</v>
      </c>
      <c r="D36" s="1">
        <v>6</v>
      </c>
      <c r="E36" s="12">
        <f t="shared" si="5"/>
        <v>39564.728437500002</v>
      </c>
      <c r="F36" s="8">
        <f t="shared" si="4"/>
        <v>474776.74125000002</v>
      </c>
      <c r="G36" s="12">
        <f>G35*$J$27</f>
        <v>181374.03900000008</v>
      </c>
      <c r="H36" s="8">
        <f t="shared" si="6"/>
        <v>656150.78025000007</v>
      </c>
      <c r="I36" s="8">
        <f t="shared" si="7"/>
        <v>54679.231687500003</v>
      </c>
    </row>
    <row r="37" spans="3:9" ht="19.5" customHeight="1" x14ac:dyDescent="0.2">
      <c r="C37">
        <v>29</v>
      </c>
      <c r="D37" s="1">
        <v>7</v>
      </c>
      <c r="E37" s="12">
        <f t="shared" si="5"/>
        <v>41542.964859375003</v>
      </c>
      <c r="F37" s="8">
        <f t="shared" si="4"/>
        <v>498515.57831250003</v>
      </c>
      <c r="G37" s="12">
        <f>G36*$J$28</f>
        <v>217648.84680000009</v>
      </c>
      <c r="H37" s="8">
        <f t="shared" si="6"/>
        <v>716164.42511250009</v>
      </c>
      <c r="I37" s="8">
        <f t="shared" si="7"/>
        <v>59680.368759375007</v>
      </c>
    </row>
    <row r="38" spans="3:9" ht="19.5" customHeight="1" x14ac:dyDescent="0.2">
      <c r="C38">
        <v>30</v>
      </c>
      <c r="D38" s="1">
        <v>8</v>
      </c>
      <c r="E38" s="12">
        <f t="shared" si="5"/>
        <v>43620.113102343756</v>
      </c>
      <c r="F38" s="8">
        <f t="shared" si="4"/>
        <v>523441.3572281251</v>
      </c>
      <c r="G38" s="12">
        <f>G37*$J$28</f>
        <v>261178.61616000009</v>
      </c>
      <c r="H38" s="8">
        <f t="shared" si="6"/>
        <v>784619.97338812519</v>
      </c>
      <c r="I38" s="8">
        <f t="shared" si="7"/>
        <v>65384.997782343766</v>
      </c>
    </row>
    <row r="39" spans="3:9" ht="19.5" customHeight="1" x14ac:dyDescent="0.2">
      <c r="C39">
        <v>31</v>
      </c>
      <c r="D39" s="1">
        <v>9</v>
      </c>
      <c r="E39" s="12">
        <f t="shared" si="5"/>
        <v>45801.118757460943</v>
      </c>
      <c r="F39" s="8">
        <f t="shared" si="4"/>
        <v>549613.42508953135</v>
      </c>
      <c r="G39" s="12">
        <f>G38*$J$28</f>
        <v>313414.33939200011</v>
      </c>
      <c r="H39" s="8">
        <f t="shared" si="6"/>
        <v>863027.76448153146</v>
      </c>
      <c r="I39" s="8">
        <f t="shared" si="7"/>
        <v>71918.98037346096</v>
      </c>
    </row>
    <row r="40" spans="3:9" ht="19.5" customHeight="1" x14ac:dyDescent="0.2">
      <c r="C40">
        <v>32</v>
      </c>
      <c r="D40" s="1">
        <v>10</v>
      </c>
      <c r="E40" s="12">
        <f>E39*$E$29</f>
        <v>48091.17469533399</v>
      </c>
      <c r="F40" s="8">
        <f>E40*$F$29</f>
        <v>577094.09634400788</v>
      </c>
      <c r="G40" s="12">
        <f>G39*$J$28</f>
        <v>376097.20727040013</v>
      </c>
      <c r="H40" s="8">
        <f t="shared" si="6"/>
        <v>953191.30361440801</v>
      </c>
      <c r="I40" s="8">
        <f t="shared" si="7"/>
        <v>79432.608634534001</v>
      </c>
    </row>
    <row r="41" spans="3:9" ht="18.75" customHeight="1" x14ac:dyDescent="0.2">
      <c r="C41">
        <v>33</v>
      </c>
      <c r="D41" s="1">
        <v>11</v>
      </c>
      <c r="E41" s="12">
        <f t="shared" ref="E41:E45" si="8">E40*$E$29</f>
        <v>50495.733430100692</v>
      </c>
      <c r="F41" s="8">
        <f t="shared" ref="F41:F45" si="9">E41*$F$29</f>
        <v>605948.80116120831</v>
      </c>
      <c r="G41" s="19">
        <f>G40*$J$29</f>
        <v>526536.09017856012</v>
      </c>
      <c r="H41" s="8">
        <f>F41+G41</f>
        <v>1132484.8913397684</v>
      </c>
      <c r="I41" s="8">
        <f>H41/$F$29</f>
        <v>94373.740944980702</v>
      </c>
    </row>
    <row r="42" spans="3:9" ht="18.75" customHeight="1" x14ac:dyDescent="0.2">
      <c r="C42">
        <v>34</v>
      </c>
      <c r="D42" s="1">
        <v>12</v>
      </c>
      <c r="E42" s="12">
        <f t="shared" si="8"/>
        <v>53020.520101605733</v>
      </c>
      <c r="F42" s="8">
        <f t="shared" si="9"/>
        <v>636246.24121926876</v>
      </c>
      <c r="G42" s="19">
        <f t="shared" ref="G42:G45" si="10">G41*$J$29</f>
        <v>737150.52624998416</v>
      </c>
      <c r="H42" s="8">
        <f t="shared" si="6"/>
        <v>1373396.7674692529</v>
      </c>
      <c r="I42" s="8">
        <f t="shared" si="7"/>
        <v>114449.73062243774</v>
      </c>
    </row>
    <row r="43" spans="3:9" ht="18.75" customHeight="1" x14ac:dyDescent="0.2">
      <c r="C43">
        <v>35</v>
      </c>
      <c r="D43" s="1">
        <v>13</v>
      </c>
      <c r="E43" s="12">
        <f t="shared" si="8"/>
        <v>55671.546106686023</v>
      </c>
      <c r="F43" s="8">
        <f t="shared" si="9"/>
        <v>668058.55328023224</v>
      </c>
      <c r="G43" s="19">
        <f t="shared" si="10"/>
        <v>1032010.7367499778</v>
      </c>
      <c r="H43" s="8">
        <f t="shared" si="6"/>
        <v>1700069.29003021</v>
      </c>
      <c r="I43" s="8">
        <f t="shared" si="7"/>
        <v>141672.44083585084</v>
      </c>
    </row>
    <row r="44" spans="3:9" ht="18.75" customHeight="1" x14ac:dyDescent="0.2">
      <c r="C44">
        <v>36</v>
      </c>
      <c r="D44" s="1">
        <v>14</v>
      </c>
      <c r="E44" s="12">
        <f t="shared" si="8"/>
        <v>58455.123412020323</v>
      </c>
      <c r="F44" s="8">
        <f t="shared" si="9"/>
        <v>701461.48094424384</v>
      </c>
      <c r="G44" s="19">
        <f t="shared" si="10"/>
        <v>1444815.0314499689</v>
      </c>
      <c r="H44" s="8">
        <f t="shared" si="6"/>
        <v>2146276.5123942127</v>
      </c>
      <c r="I44" s="8">
        <f t="shared" si="7"/>
        <v>178856.37603285105</v>
      </c>
    </row>
    <row r="45" spans="3:9" ht="18.75" customHeight="1" x14ac:dyDescent="0.2">
      <c r="C45">
        <v>37</v>
      </c>
      <c r="D45" s="1">
        <v>15</v>
      </c>
      <c r="E45" s="12">
        <f t="shared" si="8"/>
        <v>61377.879582621339</v>
      </c>
      <c r="F45" s="8">
        <f t="shared" si="9"/>
        <v>736534.5549914561</v>
      </c>
      <c r="G45" s="19">
        <f t="shared" si="10"/>
        <v>2022741.0440299565</v>
      </c>
      <c r="H45" s="8">
        <f t="shared" si="6"/>
        <v>2759275.5990214124</v>
      </c>
      <c r="I45" s="8">
        <f t="shared" si="7"/>
        <v>229939.63325178437</v>
      </c>
    </row>
    <row r="54" spans="2:5" x14ac:dyDescent="0.2">
      <c r="C54" t="s">
        <v>73</v>
      </c>
    </row>
    <row r="55" spans="2:5" x14ac:dyDescent="0.2">
      <c r="B55" t="s">
        <v>74</v>
      </c>
      <c r="C55">
        <v>15000</v>
      </c>
      <c r="D55" s="32">
        <v>0.05</v>
      </c>
      <c r="E55">
        <f>C55*D55</f>
        <v>750</v>
      </c>
    </row>
    <row r="56" spans="2:5" x14ac:dyDescent="0.2">
      <c r="B56" s="4" t="s">
        <v>75</v>
      </c>
      <c r="C56" s="4">
        <f>E55</f>
        <v>750</v>
      </c>
    </row>
    <row r="57" spans="2:5" x14ac:dyDescent="0.2">
      <c r="B57" s="4" t="s">
        <v>76</v>
      </c>
      <c r="C57" s="4">
        <f>C56*D57</f>
        <v>9000</v>
      </c>
      <c r="D57">
        <v>12</v>
      </c>
    </row>
    <row r="59" spans="2:5" x14ac:dyDescent="0.2">
      <c r="C59" t="s">
        <v>77</v>
      </c>
    </row>
    <row r="60" spans="2:5" x14ac:dyDescent="0.2">
      <c r="B60" t="s">
        <v>74</v>
      </c>
      <c r="C60">
        <v>17500</v>
      </c>
      <c r="D60" s="32">
        <v>0.05</v>
      </c>
      <c r="E60">
        <f>C60*D60</f>
        <v>875</v>
      </c>
    </row>
    <row r="61" spans="2:5" x14ac:dyDescent="0.2">
      <c r="B61" s="4" t="s">
        <v>75</v>
      </c>
      <c r="C61" s="4">
        <f>E60</f>
        <v>875</v>
      </c>
    </row>
    <row r="62" spans="2:5" x14ac:dyDescent="0.2">
      <c r="B62" s="4" t="s">
        <v>76</v>
      </c>
      <c r="C62" s="4">
        <f>C61*D62</f>
        <v>10500</v>
      </c>
      <c r="D62">
        <v>12</v>
      </c>
    </row>
    <row r="64" spans="2:5" x14ac:dyDescent="0.2">
      <c r="C64" t="s">
        <v>78</v>
      </c>
    </row>
    <row r="65" spans="2:13" x14ac:dyDescent="0.2">
      <c r="B65" t="s">
        <v>74</v>
      </c>
      <c r="C65">
        <v>20000</v>
      </c>
      <c r="D65" s="32">
        <v>0.05</v>
      </c>
      <c r="E65">
        <f>C65*D65</f>
        <v>1000</v>
      </c>
    </row>
    <row r="66" spans="2:13" x14ac:dyDescent="0.2">
      <c r="B66" s="4" t="s">
        <v>75</v>
      </c>
      <c r="C66" s="4">
        <f>E65</f>
        <v>1000</v>
      </c>
    </row>
    <row r="67" spans="2:13" x14ac:dyDescent="0.2">
      <c r="B67" s="4" t="s">
        <v>76</v>
      </c>
      <c r="C67" s="4">
        <f>C66*D67</f>
        <v>12000</v>
      </c>
      <c r="D67">
        <v>12</v>
      </c>
    </row>
    <row r="69" spans="2:13" x14ac:dyDescent="0.2">
      <c r="C69" t="s">
        <v>79</v>
      </c>
    </row>
    <row r="70" spans="2:13" x14ac:dyDescent="0.2">
      <c r="C70">
        <v>23000</v>
      </c>
      <c r="D70" s="32">
        <v>0.05</v>
      </c>
      <c r="E70">
        <f>C70*D70</f>
        <v>1150</v>
      </c>
    </row>
    <row r="71" spans="2:13" x14ac:dyDescent="0.2">
      <c r="B71" s="4" t="s">
        <v>75</v>
      </c>
      <c r="C71" s="4">
        <f>E70</f>
        <v>1150</v>
      </c>
    </row>
    <row r="72" spans="2:13" x14ac:dyDescent="0.2">
      <c r="B72" s="4" t="s">
        <v>76</v>
      </c>
      <c r="C72" s="4">
        <f>C71*D72</f>
        <v>13800</v>
      </c>
      <c r="D72">
        <v>12</v>
      </c>
    </row>
    <row r="75" spans="2:13" x14ac:dyDescent="0.2">
      <c r="C75" t="s">
        <v>88</v>
      </c>
      <c r="D75">
        <v>20</v>
      </c>
      <c r="E75" t="s">
        <v>89</v>
      </c>
      <c r="I75" t="s">
        <v>90</v>
      </c>
      <c r="J75" t="s">
        <v>91</v>
      </c>
      <c r="K75" t="s">
        <v>92</v>
      </c>
      <c r="L75" t="s">
        <v>93</v>
      </c>
      <c r="M75" t="s">
        <v>94</v>
      </c>
    </row>
    <row r="76" spans="2:13" x14ac:dyDescent="0.2">
      <c r="B76">
        <v>2025</v>
      </c>
      <c r="C76">
        <v>20</v>
      </c>
      <c r="E76">
        <v>2</v>
      </c>
      <c r="F76">
        <v>40</v>
      </c>
      <c r="G76">
        <v>12000</v>
      </c>
      <c r="I76">
        <v>300</v>
      </c>
      <c r="J76">
        <v>365</v>
      </c>
      <c r="K76">
        <v>52</v>
      </c>
      <c r="L76">
        <v>13</v>
      </c>
      <c r="M76">
        <v>65</v>
      </c>
    </row>
    <row r="77" spans="2:13" x14ac:dyDescent="0.2">
      <c r="B77">
        <v>2026</v>
      </c>
      <c r="C77">
        <v>20</v>
      </c>
      <c r="E77">
        <v>2</v>
      </c>
      <c r="F77">
        <v>40</v>
      </c>
      <c r="G77">
        <v>12000</v>
      </c>
      <c r="I77">
        <v>300</v>
      </c>
      <c r="J77">
        <v>365</v>
      </c>
      <c r="K77">
        <v>52</v>
      </c>
      <c r="L77">
        <v>13</v>
      </c>
      <c r="M77">
        <v>65</v>
      </c>
    </row>
    <row r="78" spans="2:13" x14ac:dyDescent="0.2">
      <c r="B78">
        <v>2027</v>
      </c>
      <c r="C78">
        <v>25</v>
      </c>
      <c r="D78">
        <v>5</v>
      </c>
      <c r="E78">
        <v>2</v>
      </c>
      <c r="F78">
        <v>50</v>
      </c>
      <c r="G78">
        <v>15000</v>
      </c>
      <c r="I78">
        <v>300</v>
      </c>
      <c r="J78">
        <v>365</v>
      </c>
      <c r="K78">
        <v>52</v>
      </c>
      <c r="L78">
        <v>13</v>
      </c>
      <c r="M78">
        <v>65</v>
      </c>
    </row>
    <row r="79" spans="2:13" x14ac:dyDescent="0.2">
      <c r="B79">
        <v>2028</v>
      </c>
      <c r="C79">
        <v>25</v>
      </c>
      <c r="E79">
        <v>2</v>
      </c>
      <c r="F79">
        <v>50</v>
      </c>
      <c r="G79">
        <v>15000</v>
      </c>
      <c r="I79">
        <v>300</v>
      </c>
      <c r="J79">
        <v>365</v>
      </c>
      <c r="K79">
        <v>52</v>
      </c>
      <c r="L79">
        <v>13</v>
      </c>
      <c r="M79">
        <v>65</v>
      </c>
    </row>
    <row r="80" spans="2:13" x14ac:dyDescent="0.2">
      <c r="B80">
        <v>2029</v>
      </c>
      <c r="C80">
        <v>25</v>
      </c>
      <c r="E80">
        <v>2</v>
      </c>
      <c r="F80">
        <v>50</v>
      </c>
      <c r="G80">
        <v>15000</v>
      </c>
      <c r="I80">
        <v>300</v>
      </c>
      <c r="J80">
        <v>365</v>
      </c>
      <c r="K80">
        <v>52</v>
      </c>
      <c r="L80">
        <v>13</v>
      </c>
      <c r="M80">
        <v>65</v>
      </c>
    </row>
    <row r="81" spans="2:13" x14ac:dyDescent="0.2">
      <c r="B81">
        <v>2030</v>
      </c>
      <c r="C81">
        <v>30</v>
      </c>
      <c r="D81">
        <v>5</v>
      </c>
      <c r="E81">
        <v>2</v>
      </c>
      <c r="F81">
        <v>60</v>
      </c>
      <c r="G81">
        <v>18000</v>
      </c>
      <c r="I81">
        <v>300</v>
      </c>
      <c r="J81">
        <v>365</v>
      </c>
      <c r="K81">
        <v>52</v>
      </c>
      <c r="L81">
        <v>13</v>
      </c>
      <c r="M81">
        <v>65</v>
      </c>
    </row>
    <row r="82" spans="2:13" x14ac:dyDescent="0.2">
      <c r="B82">
        <v>2031</v>
      </c>
      <c r="C82">
        <v>30</v>
      </c>
      <c r="E82">
        <v>2</v>
      </c>
      <c r="F82">
        <v>60</v>
      </c>
      <c r="G82">
        <v>18000</v>
      </c>
      <c r="I82">
        <v>300</v>
      </c>
      <c r="J82">
        <v>365</v>
      </c>
      <c r="K82">
        <v>52</v>
      </c>
      <c r="L82">
        <v>13</v>
      </c>
      <c r="M82">
        <v>65</v>
      </c>
    </row>
    <row r="83" spans="2:13" x14ac:dyDescent="0.2">
      <c r="B83">
        <v>2032</v>
      </c>
      <c r="C83">
        <v>40</v>
      </c>
      <c r="D83">
        <v>10</v>
      </c>
      <c r="E83">
        <v>2</v>
      </c>
      <c r="F83">
        <v>80</v>
      </c>
      <c r="G83">
        <v>24000</v>
      </c>
      <c r="I83">
        <v>300</v>
      </c>
      <c r="J83">
        <v>365</v>
      </c>
      <c r="K83">
        <v>52</v>
      </c>
      <c r="L83">
        <v>13</v>
      </c>
      <c r="M83">
        <v>65</v>
      </c>
    </row>
    <row r="84" spans="2:13" x14ac:dyDescent="0.2">
      <c r="B84">
        <v>2033</v>
      </c>
      <c r="C84">
        <v>40</v>
      </c>
      <c r="E84">
        <v>2</v>
      </c>
      <c r="F84">
        <v>80</v>
      </c>
      <c r="G84">
        <v>24000</v>
      </c>
      <c r="I84">
        <v>300</v>
      </c>
      <c r="J84">
        <v>365</v>
      </c>
      <c r="K84">
        <v>52</v>
      </c>
      <c r="L84">
        <v>13</v>
      </c>
      <c r="M84">
        <v>65</v>
      </c>
    </row>
    <row r="85" spans="2:13" x14ac:dyDescent="0.2">
      <c r="B85">
        <v>2034</v>
      </c>
      <c r="C85">
        <v>40</v>
      </c>
      <c r="E85">
        <v>2</v>
      </c>
      <c r="F85">
        <v>80</v>
      </c>
      <c r="G85">
        <v>24000</v>
      </c>
      <c r="I85">
        <v>300</v>
      </c>
      <c r="J85">
        <v>365</v>
      </c>
      <c r="K85">
        <v>52</v>
      </c>
      <c r="L85">
        <v>13</v>
      </c>
      <c r="M85">
        <v>65</v>
      </c>
    </row>
    <row r="88" spans="2:13" x14ac:dyDescent="0.2">
      <c r="B88" t="s">
        <v>95</v>
      </c>
      <c r="E88" t="s">
        <v>96</v>
      </c>
    </row>
    <row r="89" spans="2:13" x14ac:dyDescent="0.2">
      <c r="B89" t="s">
        <v>97</v>
      </c>
      <c r="C89" t="s">
        <v>112</v>
      </c>
      <c r="E89" t="s">
        <v>98</v>
      </c>
      <c r="F89" t="s">
        <v>99</v>
      </c>
    </row>
    <row r="90" spans="2:13" x14ac:dyDescent="0.2">
      <c r="B90" t="s">
        <v>100</v>
      </c>
      <c r="C90" s="12">
        <v>1094000</v>
      </c>
      <c r="E90" t="s">
        <v>101</v>
      </c>
      <c r="F90" s="12">
        <v>4390000</v>
      </c>
    </row>
    <row r="91" spans="2:13" x14ac:dyDescent="0.2">
      <c r="B91" t="s">
        <v>102</v>
      </c>
      <c r="C91" s="34">
        <v>0.25</v>
      </c>
      <c r="E91" t="s">
        <v>102</v>
      </c>
      <c r="F91" s="34">
        <v>0.2</v>
      </c>
    </row>
    <row r="92" spans="2:13" x14ac:dyDescent="0.2">
      <c r="B92" t="s">
        <v>103</v>
      </c>
      <c r="C92" s="12">
        <v>820500</v>
      </c>
      <c r="E92" t="s">
        <v>103</v>
      </c>
      <c r="F92" s="29">
        <f>F90-G92</f>
        <v>3512000</v>
      </c>
      <c r="G92">
        <f>F90*F91</f>
        <v>878000</v>
      </c>
    </row>
    <row r="93" spans="2:13" x14ac:dyDescent="0.2">
      <c r="B93" t="s">
        <v>104</v>
      </c>
      <c r="C93" s="35">
        <v>4.0500000000000001E-2</v>
      </c>
      <c r="E93" t="s">
        <v>104</v>
      </c>
      <c r="F93" s="34">
        <v>0.03</v>
      </c>
    </row>
    <row r="94" spans="2:13" x14ac:dyDescent="0.2">
      <c r="B94" t="s">
        <v>105</v>
      </c>
      <c r="C94" s="36" t="s">
        <v>106</v>
      </c>
      <c r="E94" t="s">
        <v>105</v>
      </c>
      <c r="F94" s="36" t="s">
        <v>107</v>
      </c>
    </row>
    <row r="95" spans="2:13" x14ac:dyDescent="0.2">
      <c r="B95" t="s">
        <v>108</v>
      </c>
      <c r="C95" s="12">
        <v>12537</v>
      </c>
      <c r="E95" t="s">
        <v>109</v>
      </c>
      <c r="F95" s="37">
        <f>PMT(F93/12,360,-3512000,0,0)</f>
        <v>14806.7336645783</v>
      </c>
      <c r="I95" t="e">
        <f>#REF!*360</f>
        <v>#REF!</v>
      </c>
    </row>
    <row r="96" spans="2:13" x14ac:dyDescent="0.2">
      <c r="B96" t="s">
        <v>111</v>
      </c>
      <c r="C96" s="8">
        <f>C95*12</f>
        <v>150444</v>
      </c>
      <c r="E96" t="s">
        <v>111</v>
      </c>
      <c r="F96">
        <f>F95*12</f>
        <v>177680.8039749396</v>
      </c>
    </row>
    <row r="98" spans="1:6" x14ac:dyDescent="0.2">
      <c r="C98" s="19">
        <f>C90*0.25</f>
        <v>273500</v>
      </c>
      <c r="F98">
        <f>F90*0.2</f>
        <v>878000</v>
      </c>
    </row>
    <row r="99" spans="1:6" x14ac:dyDescent="0.2">
      <c r="C99" s="19">
        <f>C90-C98</f>
        <v>820500</v>
      </c>
      <c r="F99">
        <f>F90-F98</f>
        <v>3512000</v>
      </c>
    </row>
    <row r="101" spans="1:6" x14ac:dyDescent="0.2">
      <c r="C101" s="37">
        <f>PMT(C93/12,84,-1649250,0,0)</f>
        <v>22581.257172011719</v>
      </c>
    </row>
    <row r="103" spans="1:6" x14ac:dyDescent="0.2">
      <c r="B103" t="s">
        <v>110</v>
      </c>
      <c r="C103" s="8">
        <f>C95*84</f>
        <v>1053108</v>
      </c>
      <c r="E103" t="s">
        <v>110</v>
      </c>
      <c r="F103">
        <f>F95*360</f>
        <v>5330424.1192481881</v>
      </c>
    </row>
    <row r="107" spans="1:6" x14ac:dyDescent="0.2">
      <c r="A107" t="s">
        <v>134</v>
      </c>
      <c r="B107">
        <v>1</v>
      </c>
      <c r="C107">
        <v>0.03</v>
      </c>
      <c r="D107">
        <f>B107+C107</f>
        <v>1.03</v>
      </c>
    </row>
    <row r="108" spans="1:6" x14ac:dyDescent="0.2">
      <c r="A108" t="s">
        <v>135</v>
      </c>
      <c r="B108">
        <v>1</v>
      </c>
      <c r="C108">
        <v>3.5000000000000003E-2</v>
      </c>
      <c r="D108">
        <f t="shared" ref="D108:D110" si="11">B108+C108</f>
        <v>1.0349999999999999</v>
      </c>
    </row>
    <row r="109" spans="1:6" x14ac:dyDescent="0.2">
      <c r="A109" t="s">
        <v>136</v>
      </c>
      <c r="B109">
        <v>1</v>
      </c>
      <c r="C109">
        <v>9.5000000000000001E-2</v>
      </c>
      <c r="D109">
        <f t="shared" si="11"/>
        <v>1.095</v>
      </c>
    </row>
    <row r="110" spans="1:6" x14ac:dyDescent="0.2">
      <c r="A110" t="s">
        <v>137</v>
      </c>
      <c r="B110">
        <v>1</v>
      </c>
      <c r="C110">
        <v>3.5000000000000003E-2</v>
      </c>
      <c r="D110">
        <f t="shared" si="11"/>
        <v>1.0349999999999999</v>
      </c>
    </row>
    <row r="112" spans="1:6" x14ac:dyDescent="0.2">
      <c r="B112" t="str">
        <f>A107</f>
        <v>ssf</v>
      </c>
      <c r="C112" t="str">
        <f>A108</f>
        <v>rmf</v>
      </c>
      <c r="D112" t="str">
        <f>A109</f>
        <v>etf s&amp;p</v>
      </c>
      <c r="E112" t="str">
        <f>A110</f>
        <v>etf พัทธบัตร</v>
      </c>
    </row>
    <row r="113" spans="1:5" x14ac:dyDescent="0.2">
      <c r="B113">
        <f>D107</f>
        <v>1.03</v>
      </c>
      <c r="C113">
        <f>D108</f>
        <v>1.0349999999999999</v>
      </c>
      <c r="D113">
        <f>D109</f>
        <v>1.095</v>
      </c>
      <c r="E113">
        <f>D110</f>
        <v>1.0349999999999999</v>
      </c>
    </row>
    <row r="114" spans="1:5" x14ac:dyDescent="0.2">
      <c r="A114">
        <v>1</v>
      </c>
      <c r="B114">
        <f>$B$113^A114</f>
        <v>1.03</v>
      </c>
      <c r="C114">
        <f>$C$113^A114</f>
        <v>1.0349999999999999</v>
      </c>
      <c r="D114">
        <f>$D$113^A114</f>
        <v>1.095</v>
      </c>
      <c r="E114">
        <f>$E$113^A114</f>
        <v>1.0349999999999999</v>
      </c>
    </row>
    <row r="115" spans="1:5" x14ac:dyDescent="0.2">
      <c r="A115">
        <v>2</v>
      </c>
      <c r="B115">
        <f t="shared" ref="B115:B128" si="12">$B$113^A115</f>
        <v>1.0609</v>
      </c>
      <c r="C115">
        <f t="shared" ref="C115:C128" si="13">$C$113^A115</f>
        <v>1.0712249999999999</v>
      </c>
      <c r="D115">
        <f t="shared" ref="D115:D128" si="14">$D$113^A115</f>
        <v>1.199025</v>
      </c>
      <c r="E115">
        <f t="shared" ref="E115:E128" si="15">$E$113^A115</f>
        <v>1.0712249999999999</v>
      </c>
    </row>
    <row r="116" spans="1:5" x14ac:dyDescent="0.2">
      <c r="A116">
        <v>3</v>
      </c>
      <c r="B116">
        <f t="shared" si="12"/>
        <v>1.092727</v>
      </c>
      <c r="C116">
        <f t="shared" si="13"/>
        <v>1.1087178749999997</v>
      </c>
      <c r="D116">
        <f t="shared" si="14"/>
        <v>1.3129323749999999</v>
      </c>
      <c r="E116">
        <f t="shared" si="15"/>
        <v>1.1087178749999997</v>
      </c>
    </row>
    <row r="117" spans="1:5" x14ac:dyDescent="0.2">
      <c r="A117">
        <v>4</v>
      </c>
      <c r="B117">
        <f t="shared" si="12"/>
        <v>1.1255088099999999</v>
      </c>
      <c r="C117">
        <f t="shared" si="13"/>
        <v>1.1475230006249997</v>
      </c>
      <c r="D117">
        <f t="shared" si="14"/>
        <v>1.437660950625</v>
      </c>
      <c r="E117">
        <f t="shared" si="15"/>
        <v>1.1475230006249997</v>
      </c>
    </row>
    <row r="118" spans="1:5" x14ac:dyDescent="0.2">
      <c r="A118">
        <v>5</v>
      </c>
      <c r="B118">
        <f t="shared" si="12"/>
        <v>1.1592740742999998</v>
      </c>
      <c r="C118">
        <f t="shared" si="13"/>
        <v>1.1876863056468745</v>
      </c>
      <c r="D118">
        <f t="shared" si="14"/>
        <v>1.574238740934375</v>
      </c>
      <c r="E118">
        <f t="shared" si="15"/>
        <v>1.1876863056468745</v>
      </c>
    </row>
    <row r="119" spans="1:5" x14ac:dyDescent="0.2">
      <c r="A119">
        <v>6</v>
      </c>
      <c r="B119">
        <f t="shared" si="12"/>
        <v>1.1940522965289999</v>
      </c>
      <c r="C119">
        <f t="shared" si="13"/>
        <v>1.2292553263445152</v>
      </c>
      <c r="D119">
        <f t="shared" si="14"/>
        <v>1.7237914213231407</v>
      </c>
      <c r="E119">
        <f t="shared" si="15"/>
        <v>1.2292553263445152</v>
      </c>
    </row>
    <row r="120" spans="1:5" x14ac:dyDescent="0.2">
      <c r="A120">
        <v>7</v>
      </c>
      <c r="B120">
        <f t="shared" si="12"/>
        <v>1.22987386542487</v>
      </c>
      <c r="C120">
        <f t="shared" si="13"/>
        <v>1.2722792627665731</v>
      </c>
      <c r="D120">
        <f t="shared" si="14"/>
        <v>1.8875516063488389</v>
      </c>
      <c r="E120">
        <f t="shared" si="15"/>
        <v>1.2722792627665731</v>
      </c>
    </row>
    <row r="121" spans="1:5" x14ac:dyDescent="0.2">
      <c r="A121">
        <v>8</v>
      </c>
      <c r="B121">
        <f t="shared" si="12"/>
        <v>1.2667700813876159</v>
      </c>
      <c r="C121">
        <f t="shared" si="13"/>
        <v>1.3168090369634029</v>
      </c>
      <c r="D121">
        <f t="shared" si="14"/>
        <v>2.0668690089519788</v>
      </c>
      <c r="E121">
        <f t="shared" si="15"/>
        <v>1.3168090369634029</v>
      </c>
    </row>
    <row r="122" spans="1:5" x14ac:dyDescent="0.2">
      <c r="A122">
        <v>9</v>
      </c>
      <c r="B122">
        <f t="shared" si="12"/>
        <v>1.3047731838292445</v>
      </c>
      <c r="C122">
        <f t="shared" si="13"/>
        <v>1.3628973532571218</v>
      </c>
      <c r="D122">
        <f t="shared" si="14"/>
        <v>2.2632215648024165</v>
      </c>
      <c r="E122">
        <f t="shared" si="15"/>
        <v>1.3628973532571218</v>
      </c>
    </row>
    <row r="123" spans="1:5" x14ac:dyDescent="0.2">
      <c r="A123">
        <v>10</v>
      </c>
      <c r="B123">
        <f t="shared" si="12"/>
        <v>1.3439163793441218</v>
      </c>
      <c r="C123">
        <f t="shared" si="13"/>
        <v>1.410598760621121</v>
      </c>
      <c r="D123">
        <f t="shared" si="14"/>
        <v>2.4782276134586465</v>
      </c>
      <c r="E123">
        <f t="shared" si="15"/>
        <v>1.410598760621121</v>
      </c>
    </row>
    <row r="124" spans="1:5" x14ac:dyDescent="0.2">
      <c r="A124">
        <v>11</v>
      </c>
      <c r="B124">
        <f t="shared" si="12"/>
        <v>1.3842338707244455</v>
      </c>
      <c r="C124">
        <f t="shared" si="13"/>
        <v>1.4599697172428603</v>
      </c>
      <c r="D124">
        <f t="shared" si="14"/>
        <v>2.7136592367372177</v>
      </c>
      <c r="E124">
        <f t="shared" si="15"/>
        <v>1.4599697172428603</v>
      </c>
    </row>
    <row r="125" spans="1:5" x14ac:dyDescent="0.2">
      <c r="A125">
        <v>12</v>
      </c>
      <c r="B125">
        <f t="shared" si="12"/>
        <v>1.4257608868461786</v>
      </c>
      <c r="C125">
        <f t="shared" si="13"/>
        <v>1.5110686573463603</v>
      </c>
      <c r="D125">
        <f t="shared" si="14"/>
        <v>2.9714568642272536</v>
      </c>
      <c r="E125">
        <f t="shared" si="15"/>
        <v>1.5110686573463603</v>
      </c>
    </row>
    <row r="126" spans="1:5" x14ac:dyDescent="0.2">
      <c r="A126">
        <v>13</v>
      </c>
      <c r="B126">
        <f t="shared" si="12"/>
        <v>1.4685337134515639</v>
      </c>
      <c r="C126">
        <f t="shared" si="13"/>
        <v>1.5639560603534826</v>
      </c>
      <c r="D126">
        <f t="shared" si="14"/>
        <v>3.2537452663288424</v>
      </c>
      <c r="E126">
        <f t="shared" si="15"/>
        <v>1.5639560603534826</v>
      </c>
    </row>
    <row r="127" spans="1:5" x14ac:dyDescent="0.2">
      <c r="A127">
        <v>14</v>
      </c>
      <c r="B127">
        <f t="shared" si="12"/>
        <v>1.512589724855111</v>
      </c>
      <c r="C127">
        <f t="shared" si="13"/>
        <v>1.6186945224658547</v>
      </c>
      <c r="D127">
        <f t="shared" si="14"/>
        <v>3.5628510666300826</v>
      </c>
      <c r="E127">
        <f t="shared" si="15"/>
        <v>1.6186945224658547</v>
      </c>
    </row>
    <row r="128" spans="1:5" x14ac:dyDescent="0.2">
      <c r="A128">
        <v>15</v>
      </c>
      <c r="B128">
        <f t="shared" si="12"/>
        <v>1.5579674166007644</v>
      </c>
      <c r="C128">
        <f t="shared" si="13"/>
        <v>1.6753488307521593</v>
      </c>
      <c r="D128">
        <f t="shared" si="14"/>
        <v>3.9013219179599403</v>
      </c>
      <c r="E128">
        <f t="shared" si="15"/>
        <v>1.6753488307521593</v>
      </c>
    </row>
    <row r="132" spans="1:16" x14ac:dyDescent="0.2">
      <c r="C132" t="s">
        <v>86</v>
      </c>
      <c r="D132" s="36" t="str">
        <f>E112</f>
        <v>etf พัทธบัตร</v>
      </c>
      <c r="E132" s="36" t="str">
        <f>B112</f>
        <v>ssf</v>
      </c>
      <c r="F132" s="36" t="str">
        <f>C112</f>
        <v>rmf</v>
      </c>
      <c r="H132" t="s">
        <v>137</v>
      </c>
      <c r="I132" t="s">
        <v>134</v>
      </c>
    </row>
    <row r="133" spans="1:16" x14ac:dyDescent="0.2">
      <c r="A133">
        <v>2</v>
      </c>
      <c r="B133" t="str">
        <f>E112</f>
        <v>etf พัทธบัตร</v>
      </c>
      <c r="C133">
        <v>47682.32</v>
      </c>
      <c r="G133">
        <v>6</v>
      </c>
      <c r="H133">
        <f>$D$137*E114</f>
        <v>99093.229901437531</v>
      </c>
      <c r="I133">
        <f>$E$137*B114</f>
        <v>22974.15</v>
      </c>
      <c r="J133">
        <f>H133+I133</f>
        <v>122067.37990143753</v>
      </c>
      <c r="L133">
        <v>13</v>
      </c>
      <c r="M133">
        <f>$E$144*B114</f>
        <v>206000</v>
      </c>
      <c r="N133">
        <f>$F$144*C114</f>
        <v>14521.780108755191</v>
      </c>
      <c r="O133">
        <f>M133+N133</f>
        <v>220521.78010875519</v>
      </c>
    </row>
    <row r="134" spans="1:16" x14ac:dyDescent="0.2">
      <c r="A134">
        <v>3</v>
      </c>
      <c r="B134" t="str">
        <f>E112</f>
        <v>etf พัทธบัตร</v>
      </c>
      <c r="C134">
        <v>45562.939999999995</v>
      </c>
      <c r="G134">
        <v>7</v>
      </c>
      <c r="H134">
        <f t="shared" ref="H134:H142" si="16">$D$137*E115</f>
        <v>102561.49294798783</v>
      </c>
      <c r="I134">
        <f t="shared" ref="I134:I142" si="17">$E$137*B115</f>
        <v>23663.374499999998</v>
      </c>
      <c r="J134">
        <f t="shared" ref="J134:J142" si="18">H134+I134</f>
        <v>126224.86744798784</v>
      </c>
      <c r="L134">
        <v>14</v>
      </c>
      <c r="M134">
        <f t="shared" ref="M134:M135" si="19">$E$144*B115</f>
        <v>212180</v>
      </c>
      <c r="N134">
        <f t="shared" ref="N134:N135" si="20">$F$144*C115</f>
        <v>15030.042412561623</v>
      </c>
      <c r="O134">
        <f t="shared" ref="O134:O135" si="21">M134+N134</f>
        <v>227210.04241256163</v>
      </c>
    </row>
    <row r="135" spans="1:16" x14ac:dyDescent="0.2">
      <c r="A135">
        <v>4</v>
      </c>
      <c r="B135" t="str">
        <f>E112</f>
        <v>etf พัทธบัตร</v>
      </c>
      <c r="C135">
        <v>88026.282000000007</v>
      </c>
      <c r="G135">
        <v>8</v>
      </c>
      <c r="H135">
        <f t="shared" si="16"/>
        <v>106151.1452011674</v>
      </c>
      <c r="I135">
        <f t="shared" si="17"/>
        <v>24373.275734999999</v>
      </c>
      <c r="J135">
        <f t="shared" si="18"/>
        <v>130524.4209361674</v>
      </c>
      <c r="L135">
        <v>15</v>
      </c>
      <c r="M135">
        <f t="shared" si="19"/>
        <v>218545.4</v>
      </c>
      <c r="N135">
        <f t="shared" si="20"/>
        <v>15556.093897001278</v>
      </c>
      <c r="O135">
        <f t="shared" si="21"/>
        <v>234101.49389700126</v>
      </c>
    </row>
    <row r="136" spans="1:16" x14ac:dyDescent="0.2">
      <c r="A136">
        <v>5</v>
      </c>
      <c r="B136" t="str">
        <f>E112</f>
        <v>etf พัทธบัตร</v>
      </c>
      <c r="C136">
        <v>91710.735074999975</v>
      </c>
      <c r="G136">
        <v>9</v>
      </c>
      <c r="H136">
        <f t="shared" si="16"/>
        <v>109866.43528320825</v>
      </c>
      <c r="I136">
        <f t="shared" si="17"/>
        <v>25104.474007049997</v>
      </c>
      <c r="J136">
        <f t="shared" si="18"/>
        <v>134970.90929025825</v>
      </c>
    </row>
    <row r="137" spans="1:16" x14ac:dyDescent="0.2">
      <c r="A137" s="20">
        <v>6</v>
      </c>
      <c r="B137" t="s">
        <v>138</v>
      </c>
      <c r="C137">
        <v>118047.25111250003</v>
      </c>
      <c r="D137">
        <f>C137-E137</f>
        <v>95742.251112500031</v>
      </c>
      <c r="E137">
        <v>22305</v>
      </c>
      <c r="G137">
        <v>10</v>
      </c>
      <c r="H137">
        <f t="shared" si="16"/>
        <v>113711.76051812051</v>
      </c>
      <c r="I137">
        <f t="shared" si="17"/>
        <v>25857.608227261495</v>
      </c>
      <c r="J137">
        <f t="shared" si="18"/>
        <v>139569.368745382</v>
      </c>
    </row>
    <row r="138" spans="1:16" x14ac:dyDescent="0.2">
      <c r="A138">
        <v>7</v>
      </c>
      <c r="B138" t="str">
        <f>D112</f>
        <v>etf s&amp;p</v>
      </c>
      <c r="C138">
        <v>54222.944538250013</v>
      </c>
      <c r="G138">
        <v>11</v>
      </c>
      <c r="H138">
        <f t="shared" si="16"/>
        <v>117691.67213625474</v>
      </c>
      <c r="I138">
        <f t="shared" si="17"/>
        <v>26633.336474079344</v>
      </c>
      <c r="J138">
        <f t="shared" si="18"/>
        <v>144325.00861033407</v>
      </c>
      <c r="L138">
        <v>14</v>
      </c>
      <c r="M138">
        <f>$E$145*B114</f>
        <v>206000</v>
      </c>
      <c r="N138">
        <f>$F$145*C114</f>
        <v>223874.05225277803</v>
      </c>
      <c r="O138">
        <f>M138+N138</f>
        <v>429874.05225277803</v>
      </c>
    </row>
    <row r="139" spans="1:16" x14ac:dyDescent="0.2">
      <c r="A139">
        <v>8</v>
      </c>
      <c r="B139" t="str">
        <f>D112</f>
        <v>etf s&amp;p</v>
      </c>
      <c r="C139">
        <v>75318.630951962579</v>
      </c>
      <c r="G139">
        <v>12</v>
      </c>
      <c r="H139">
        <f t="shared" si="16"/>
        <v>121810.88066102365</v>
      </c>
      <c r="I139">
        <f t="shared" si="17"/>
        <v>27432.336568301725</v>
      </c>
      <c r="J139">
        <f t="shared" si="18"/>
        <v>149243.21722932538</v>
      </c>
      <c r="L139">
        <v>15</v>
      </c>
      <c r="M139">
        <f>$E$145*B115</f>
        <v>212180</v>
      </c>
      <c r="N139">
        <f>$F$145*C115</f>
        <v>231709.64408162524</v>
      </c>
      <c r="O139">
        <f>M139+N139</f>
        <v>443889.64408162527</v>
      </c>
    </row>
    <row r="140" spans="1:16" x14ac:dyDescent="0.2">
      <c r="A140">
        <v>9</v>
      </c>
      <c r="B140" t="str">
        <f>D112</f>
        <v>etf s&amp;p</v>
      </c>
      <c r="C140">
        <v>86133.439923720725</v>
      </c>
      <c r="G140">
        <v>13</v>
      </c>
      <c r="H140">
        <f t="shared" si="16"/>
        <v>126074.26148415946</v>
      </c>
      <c r="I140">
        <f t="shared" si="17"/>
        <v>28255.306665350774</v>
      </c>
      <c r="J140">
        <f t="shared" si="18"/>
        <v>154329.56814951025</v>
      </c>
    </row>
    <row r="141" spans="1:16" x14ac:dyDescent="0.2">
      <c r="A141">
        <v>10</v>
      </c>
      <c r="B141" t="str">
        <f>B112</f>
        <v>ssf</v>
      </c>
      <c r="C141">
        <v>42644.415566634714</v>
      </c>
      <c r="E141">
        <f>C141</f>
        <v>42644.415566634714</v>
      </c>
      <c r="G141">
        <v>14</v>
      </c>
      <c r="H141">
        <f t="shared" si="16"/>
        <v>130486.86063610502</v>
      </c>
      <c r="I141">
        <f t="shared" si="17"/>
        <v>29102.965865311297</v>
      </c>
      <c r="J141">
        <f t="shared" si="18"/>
        <v>159589.8265014163</v>
      </c>
    </row>
    <row r="142" spans="1:16" x14ac:dyDescent="0.2">
      <c r="A142">
        <v>11</v>
      </c>
      <c r="B142" t="str">
        <f>B112</f>
        <v>ssf</v>
      </c>
      <c r="C142">
        <v>90479.588183906264</v>
      </c>
      <c r="E142">
        <f>C142</f>
        <v>90479.588183906264</v>
      </c>
      <c r="G142">
        <v>15</v>
      </c>
      <c r="H142">
        <f t="shared" si="16"/>
        <v>135053.90075836869</v>
      </c>
      <c r="I142">
        <f t="shared" si="17"/>
        <v>29976.054841270638</v>
      </c>
      <c r="J142">
        <f t="shared" si="18"/>
        <v>165029.95559963933</v>
      </c>
      <c r="L142">
        <v>15</v>
      </c>
      <c r="M142">
        <f>$E$146*B114</f>
        <v>206000</v>
      </c>
      <c r="N142">
        <f>$F$146*C114</f>
        <v>310500</v>
      </c>
      <c r="O142">
        <f>$D$146*E114</f>
        <v>90092.574950780356</v>
      </c>
      <c r="P142">
        <f>M142+N142+O142</f>
        <v>606592.57495078037</v>
      </c>
    </row>
    <row r="143" spans="1:16" x14ac:dyDescent="0.2">
      <c r="A143">
        <v>12</v>
      </c>
      <c r="B143" t="str">
        <f>B112</f>
        <v>ssf</v>
      </c>
      <c r="C143">
        <v>151011.34865080004</v>
      </c>
      <c r="E143">
        <f>C143</f>
        <v>151011.34865080004</v>
      </c>
    </row>
    <row r="144" spans="1:16" x14ac:dyDescent="0.2">
      <c r="A144">
        <v>13</v>
      </c>
      <c r="B144" t="s">
        <v>139</v>
      </c>
      <c r="C144">
        <v>214030.70541908714</v>
      </c>
      <c r="E144">
        <v>200000</v>
      </c>
      <c r="F144">
        <f>C144-E144</f>
        <v>14030.705419087142</v>
      </c>
    </row>
    <row r="145" spans="1:16" x14ac:dyDescent="0.2">
      <c r="A145">
        <v>14</v>
      </c>
      <c r="B145" t="s">
        <v>139</v>
      </c>
      <c r="C145">
        <v>416303.43212828797</v>
      </c>
      <c r="E145">
        <v>200000</v>
      </c>
      <c r="F145">
        <f>C145-E145</f>
        <v>216303.43212828797</v>
      </c>
    </row>
    <row r="146" spans="1:16" x14ac:dyDescent="0.2">
      <c r="A146">
        <v>15</v>
      </c>
      <c r="B146" t="s">
        <v>140</v>
      </c>
      <c r="C146">
        <v>587045.96613601968</v>
      </c>
      <c r="D146">
        <f>C146-SUM(E146:F146)</f>
        <v>87045.966136019677</v>
      </c>
      <c r="E146">
        <v>200000</v>
      </c>
      <c r="F146">
        <v>300000</v>
      </c>
    </row>
    <row r="148" spans="1:16" x14ac:dyDescent="0.2">
      <c r="B148">
        <v>2</v>
      </c>
      <c r="C148">
        <v>3</v>
      </c>
      <c r="D148">
        <v>4</v>
      </c>
      <c r="E148">
        <v>5</v>
      </c>
      <c r="F148">
        <v>6</v>
      </c>
      <c r="G148">
        <v>7</v>
      </c>
      <c r="H148">
        <v>8</v>
      </c>
      <c r="I148">
        <v>9</v>
      </c>
      <c r="J148">
        <v>10</v>
      </c>
      <c r="K148">
        <v>11</v>
      </c>
      <c r="L148">
        <v>12</v>
      </c>
      <c r="M148">
        <v>13</v>
      </c>
      <c r="N148">
        <v>14</v>
      </c>
      <c r="O148">
        <v>15</v>
      </c>
    </row>
    <row r="150" spans="1:16" x14ac:dyDescent="0.2">
      <c r="A150">
        <v>1</v>
      </c>
      <c r="P150">
        <v>1</v>
      </c>
    </row>
    <row r="151" spans="1:16" x14ac:dyDescent="0.2">
      <c r="A151">
        <v>2</v>
      </c>
      <c r="B151">
        <f>$C$133*E114</f>
        <v>49351.201199999996</v>
      </c>
      <c r="P151">
        <v>2</v>
      </c>
    </row>
    <row r="152" spans="1:16" x14ac:dyDescent="0.2">
      <c r="A152">
        <v>3</v>
      </c>
      <c r="B152">
        <f t="shared" ref="B152:B164" si="22">$C$133*E115</f>
        <v>51078.493241999997</v>
      </c>
      <c r="C152">
        <f>$C$134*E114</f>
        <v>47157.642899999992</v>
      </c>
      <c r="P152">
        <v>3</v>
      </c>
    </row>
    <row r="153" spans="1:16" x14ac:dyDescent="0.2">
      <c r="A153">
        <v>4</v>
      </c>
      <c r="B153">
        <f t="shared" si="22"/>
        <v>52866.240505469985</v>
      </c>
      <c r="C153">
        <f t="shared" ref="C153:C164" si="23">$C$134*E115</f>
        <v>48808.16040149999</v>
      </c>
      <c r="D153">
        <f>$C$135*E114</f>
        <v>91107.201870000004</v>
      </c>
      <c r="P153">
        <v>4</v>
      </c>
    </row>
    <row r="154" spans="1:16" x14ac:dyDescent="0.2">
      <c r="A154">
        <v>5</v>
      </c>
      <c r="B154">
        <f t="shared" si="22"/>
        <v>54716.558923161436</v>
      </c>
      <c r="C154">
        <f t="shared" si="23"/>
        <v>50516.446015552479</v>
      </c>
      <c r="D154">
        <f t="shared" ref="D154:D164" si="24">$C$135*E115</f>
        <v>94295.953935450001</v>
      </c>
      <c r="E154">
        <f>$C$136*E114</f>
        <v>94920.610802624971</v>
      </c>
      <c r="P154">
        <v>5</v>
      </c>
    </row>
    <row r="155" spans="1:16" x14ac:dyDescent="0.2">
      <c r="A155">
        <v>6</v>
      </c>
      <c r="B155">
        <f t="shared" si="22"/>
        <v>56631.638485472075</v>
      </c>
      <c r="C155">
        <f t="shared" si="23"/>
        <v>52284.521626096815</v>
      </c>
      <c r="D155">
        <f t="shared" si="24"/>
        <v>97596.312323190738</v>
      </c>
      <c r="E155">
        <f t="shared" ref="E155:E164" si="25">$C$136*E115</f>
        <v>98242.83218071684</v>
      </c>
      <c r="F155">
        <f>J133</f>
        <v>122067.37990143753</v>
      </c>
      <c r="P155">
        <v>6</v>
      </c>
    </row>
    <row r="156" spans="1:16" x14ac:dyDescent="0.2">
      <c r="A156">
        <v>7</v>
      </c>
      <c r="B156">
        <f t="shared" si="22"/>
        <v>58613.745832463603</v>
      </c>
      <c r="C156">
        <f t="shared" si="23"/>
        <v>54114.479883010201</v>
      </c>
      <c r="D156">
        <f t="shared" si="24"/>
        <v>101012.18325450241</v>
      </c>
      <c r="E156">
        <f t="shared" si="25"/>
        <v>101681.33130704191</v>
      </c>
      <c r="F156">
        <f t="shared" ref="F156:F164" si="26">J134</f>
        <v>126224.86744798784</v>
      </c>
      <c r="G156">
        <f>$C$138*D114</f>
        <v>59374.124269383763</v>
      </c>
      <c r="P156">
        <v>7</v>
      </c>
    </row>
    <row r="157" spans="1:16" x14ac:dyDescent="0.2">
      <c r="A157">
        <v>8</v>
      </c>
      <c r="B157">
        <f t="shared" si="22"/>
        <v>60665.226936599822</v>
      </c>
      <c r="C157">
        <f t="shared" si="23"/>
        <v>56008.486678915557</v>
      </c>
      <c r="D157">
        <f t="shared" si="24"/>
        <v>104547.60966840998</v>
      </c>
      <c r="E157">
        <f t="shared" si="25"/>
        <v>105240.17790278837</v>
      </c>
      <c r="F157">
        <f t="shared" si="26"/>
        <v>130524.4209361674</v>
      </c>
      <c r="G157">
        <f t="shared" ref="G157:G164" si="27">$C$138*D115</f>
        <v>65014.666074975219</v>
      </c>
      <c r="H157">
        <f>$C$139*D114</f>
        <v>82473.900892399019</v>
      </c>
      <c r="P157">
        <v>8</v>
      </c>
    </row>
    <row r="158" spans="1:16" x14ac:dyDescent="0.2">
      <c r="A158">
        <v>9</v>
      </c>
      <c r="B158">
        <f t="shared" si="22"/>
        <v>62788.509879380807</v>
      </c>
      <c r="C158">
        <f t="shared" si="23"/>
        <v>57968.783712677599</v>
      </c>
      <c r="D158">
        <f t="shared" si="24"/>
        <v>108206.77600680433</v>
      </c>
      <c r="E158">
        <f t="shared" si="25"/>
        <v>108923.58412938596</v>
      </c>
      <c r="F158">
        <f t="shared" si="26"/>
        <v>134970.90929025825</v>
      </c>
      <c r="G158">
        <f t="shared" si="27"/>
        <v>71191.059352097858</v>
      </c>
      <c r="H158">
        <f t="shared" ref="H158:H164" si="28">$C$139*D115</f>
        <v>90308.921477176933</v>
      </c>
      <c r="I158">
        <f>$C$140*D114</f>
        <v>94316.116716474193</v>
      </c>
      <c r="P158">
        <v>9</v>
      </c>
    </row>
    <row r="159" spans="1:16" x14ac:dyDescent="0.2">
      <c r="A159">
        <v>10</v>
      </c>
      <c r="B159">
        <f t="shared" si="22"/>
        <v>64986.107725159127</v>
      </c>
      <c r="C159">
        <f t="shared" si="23"/>
        <v>59997.691142621305</v>
      </c>
      <c r="D159">
        <f t="shared" si="24"/>
        <v>111994.01316704247</v>
      </c>
      <c r="E159">
        <f t="shared" si="25"/>
        <v>112735.90957391447</v>
      </c>
      <c r="F159">
        <f t="shared" si="26"/>
        <v>139569.368745382</v>
      </c>
      <c r="G159">
        <f t="shared" si="27"/>
        <v>77954.20999054717</v>
      </c>
      <c r="H159">
        <f t="shared" si="28"/>
        <v>98888.269017508734</v>
      </c>
      <c r="I159">
        <f t="shared" ref="I159:I164" si="29">$C$140*D115</f>
        <v>103276.14780453924</v>
      </c>
      <c r="J159">
        <f>$C$141*B114</f>
        <v>43923.748033633754</v>
      </c>
      <c r="P159">
        <v>10</v>
      </c>
    </row>
    <row r="160" spans="1:16" x14ac:dyDescent="0.2">
      <c r="A160">
        <v>11</v>
      </c>
      <c r="B160">
        <f t="shared" si="22"/>
        <v>67260.621495539686</v>
      </c>
      <c r="C160">
        <f t="shared" si="23"/>
        <v>62097.61033261304</v>
      </c>
      <c r="D160">
        <f t="shared" si="24"/>
        <v>115913.80362788893</v>
      </c>
      <c r="E160">
        <f t="shared" si="25"/>
        <v>116681.66640900147</v>
      </c>
      <c r="F160">
        <f t="shared" si="26"/>
        <v>144325.00861033407</v>
      </c>
      <c r="G160">
        <f t="shared" si="27"/>
        <v>85359.859939649148</v>
      </c>
      <c r="H160">
        <f t="shared" si="28"/>
        <v>108282.65457417208</v>
      </c>
      <c r="I160">
        <f t="shared" si="29"/>
        <v>113087.38184597046</v>
      </c>
      <c r="J160">
        <f t="shared" ref="J160:J164" si="30">$C$141*B115</f>
        <v>45241.460474642765</v>
      </c>
      <c r="K160">
        <f>$C$142*B114</f>
        <v>93193.975829423449</v>
      </c>
      <c r="P160">
        <v>11</v>
      </c>
    </row>
    <row r="161" spans="1:16" x14ac:dyDescent="0.2">
      <c r="A161">
        <v>12</v>
      </c>
      <c r="B161">
        <f t="shared" si="22"/>
        <v>69614.743247883584</v>
      </c>
      <c r="C161">
        <f t="shared" si="23"/>
        <v>64271.026694254491</v>
      </c>
      <c r="D161">
        <f t="shared" si="24"/>
        <v>119970.78675486502</v>
      </c>
      <c r="E161">
        <f t="shared" si="25"/>
        <v>120765.52473331649</v>
      </c>
      <c r="F161">
        <f t="shared" si="26"/>
        <v>149243.21722932538</v>
      </c>
      <c r="G161">
        <f t="shared" si="27"/>
        <v>93469.046633915816</v>
      </c>
      <c r="H161">
        <f t="shared" si="28"/>
        <v>118569.50675871842</v>
      </c>
      <c r="I161">
        <f t="shared" si="29"/>
        <v>123830.68312133767</v>
      </c>
      <c r="J161">
        <f t="shared" si="30"/>
        <v>46598.704288882051</v>
      </c>
      <c r="K161">
        <f t="shared" ref="K161:K164" si="31">$C$142*B115</f>
        <v>95989.795104306148</v>
      </c>
      <c r="L161">
        <f>$C$143*B114</f>
        <v>155541.68911032405</v>
      </c>
      <c r="P161">
        <v>12</v>
      </c>
    </row>
    <row r="162" spans="1:16" x14ac:dyDescent="0.2">
      <c r="A162">
        <v>13</v>
      </c>
      <c r="B162">
        <f t="shared" si="22"/>
        <v>72051.259261559506</v>
      </c>
      <c r="C162">
        <f t="shared" si="23"/>
        <v>66520.512628553406</v>
      </c>
      <c r="D162">
        <f t="shared" si="24"/>
        <v>124169.7642912853</v>
      </c>
      <c r="E162">
        <f t="shared" si="25"/>
        <v>124992.31809898255</v>
      </c>
      <c r="F162">
        <f t="shared" si="26"/>
        <v>154329.56814951025</v>
      </c>
      <c r="G162">
        <f t="shared" si="27"/>
        <v>102348.60606413781</v>
      </c>
      <c r="H162">
        <f t="shared" si="28"/>
        <v>129833.60990079667</v>
      </c>
      <c r="I162">
        <f t="shared" si="29"/>
        <v>135594.59801786474</v>
      </c>
      <c r="J162">
        <f t="shared" si="30"/>
        <v>47996.665417548509</v>
      </c>
      <c r="K162">
        <f t="shared" si="31"/>
        <v>98869.488957435344</v>
      </c>
      <c r="L162">
        <f t="shared" ref="L162:L164" si="32">$C$143*B115</f>
        <v>160207.93978363374</v>
      </c>
      <c r="M162">
        <f>O133</f>
        <v>220521.78010875519</v>
      </c>
      <c r="P162">
        <v>13</v>
      </c>
    </row>
    <row r="163" spans="1:16" x14ac:dyDescent="0.2">
      <c r="A163">
        <v>14</v>
      </c>
      <c r="B163">
        <f t="shared" si="22"/>
        <v>74573.053335714067</v>
      </c>
      <c r="C163">
        <f t="shared" si="23"/>
        <v>68848.730570552769</v>
      </c>
      <c r="D163">
        <f t="shared" si="24"/>
        <v>128515.7060414803</v>
      </c>
      <c r="E163">
        <f t="shared" si="25"/>
        <v>129367.04923244694</v>
      </c>
      <c r="F163">
        <f t="shared" si="26"/>
        <v>159589.8265014163</v>
      </c>
      <c r="G163">
        <f t="shared" si="27"/>
        <v>112071.72364023092</v>
      </c>
      <c r="H163">
        <f t="shared" si="28"/>
        <v>142167.80284137235</v>
      </c>
      <c r="I163">
        <f t="shared" si="29"/>
        <v>148476.08482956191</v>
      </c>
      <c r="J163">
        <f t="shared" si="30"/>
        <v>49436.565380074964</v>
      </c>
      <c r="K163">
        <f t="shared" si="31"/>
        <v>101835.5736261584</v>
      </c>
      <c r="L163">
        <f t="shared" si="32"/>
        <v>165014.17797714277</v>
      </c>
      <c r="M163">
        <f>O134</f>
        <v>227210.04241256163</v>
      </c>
      <c r="N163">
        <f>O138</f>
        <v>429874.05225277803</v>
      </c>
      <c r="P163">
        <v>14</v>
      </c>
    </row>
    <row r="164" spans="1:16" x14ac:dyDescent="0.2">
      <c r="A164">
        <v>15</v>
      </c>
      <c r="B164">
        <f t="shared" si="22"/>
        <v>77183.110202464071</v>
      </c>
      <c r="C164">
        <f t="shared" si="23"/>
        <v>71258.436140522099</v>
      </c>
      <c r="D164">
        <f t="shared" si="24"/>
        <v>133013.75575293211</v>
      </c>
      <c r="E164">
        <f t="shared" si="25"/>
        <v>133894.89595558259</v>
      </c>
      <c r="F164">
        <f t="shared" si="26"/>
        <v>165029.95559963933</v>
      </c>
      <c r="G164">
        <f t="shared" si="27"/>
        <v>122718.53738605283</v>
      </c>
      <c r="H164">
        <f t="shared" si="28"/>
        <v>155673.74411130272</v>
      </c>
      <c r="I164">
        <f t="shared" si="29"/>
        <v>162581.31288837027</v>
      </c>
      <c r="J164">
        <f t="shared" si="30"/>
        <v>50919.662341477211</v>
      </c>
      <c r="K164">
        <f t="shared" si="31"/>
        <v>104890.64083494314</v>
      </c>
      <c r="L164">
        <f t="shared" si="32"/>
        <v>169964.60331645704</v>
      </c>
      <c r="M164">
        <f t="shared" ref="M163:M164" si="33">O135</f>
        <v>234101.49389700126</v>
      </c>
      <c r="N164">
        <f>O139</f>
        <v>443889.64408162527</v>
      </c>
      <c r="O164">
        <f>P142</f>
        <v>606592.57495078037</v>
      </c>
      <c r="P164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265B-718F-4EA0-9A3B-63534AAE5C59}">
  <dimension ref="A1:L107"/>
  <sheetViews>
    <sheetView topLeftCell="E1" workbookViewId="0">
      <selection activeCell="G37" sqref="G37"/>
    </sheetView>
  </sheetViews>
  <sheetFormatPr defaultRowHeight="14.25" x14ac:dyDescent="0.2"/>
  <cols>
    <col min="1" max="1" width="28.75" bestFit="1" customWidth="1"/>
    <col min="2" max="2" width="16.625" bestFit="1" customWidth="1"/>
    <col min="3" max="3" width="13.75" bestFit="1" customWidth="1"/>
    <col min="4" max="4" width="19.125" bestFit="1" customWidth="1"/>
    <col min="5" max="5" width="17.375" bestFit="1" customWidth="1"/>
    <col min="6" max="6" width="18.5" bestFit="1" customWidth="1"/>
    <col min="8" max="8" width="60.25" bestFit="1" customWidth="1"/>
    <col min="9" max="9" width="46.5" bestFit="1" customWidth="1"/>
    <col min="11" max="11" width="23.37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DATA!D39</f>
        <v>9</v>
      </c>
      <c r="B2" s="11">
        <f>DATA!E39</f>
        <v>45801.118757460943</v>
      </c>
      <c r="C2" s="11">
        <f>DATA!F39</f>
        <v>549613.42508953135</v>
      </c>
      <c r="D2" s="11">
        <f>DATA!G39</f>
        <v>313414.33939200011</v>
      </c>
      <c r="E2" s="11">
        <f>DATA!H39</f>
        <v>863027.76448153146</v>
      </c>
      <c r="F2" s="11">
        <f>DATA!I39</f>
        <v>71918.98037346096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'8'!I21+F10</f>
        <v>913178.37242398795</v>
      </c>
      <c r="K4" s="4" t="s">
        <v>62</v>
      </c>
      <c r="L4" s="4">
        <f>DATA!G11</f>
        <v>29568.000000000004</v>
      </c>
    </row>
    <row r="5" spans="1:12" x14ac:dyDescent="0.2">
      <c r="H5" s="4" t="s">
        <v>50</v>
      </c>
      <c r="I5" s="4" t="s">
        <v>66</v>
      </c>
      <c r="K5" t="s">
        <v>112</v>
      </c>
      <c r="L5" s="4">
        <f>DATA!C96</f>
        <v>150444</v>
      </c>
    </row>
    <row r="7" spans="1:12" x14ac:dyDescent="0.2">
      <c r="H7" s="4"/>
      <c r="I7" s="4" t="s">
        <v>51</v>
      </c>
      <c r="K7" s="25" t="s">
        <v>65</v>
      </c>
      <c r="L7" s="25">
        <f>SUM(L4:L5)</f>
        <v>180012</v>
      </c>
    </row>
    <row r="8" spans="1:12" x14ac:dyDescent="0.2">
      <c r="C8" s="2">
        <v>10</v>
      </c>
      <c r="H8" s="4" t="s">
        <v>52</v>
      </c>
      <c r="I8" s="4"/>
    </row>
    <row r="9" spans="1:12" x14ac:dyDescent="0.2">
      <c r="B9" t="s">
        <v>81</v>
      </c>
      <c r="C9">
        <v>12</v>
      </c>
      <c r="H9" s="4" t="s">
        <v>53</v>
      </c>
      <c r="I9" s="4"/>
      <c r="K9" s="4"/>
      <c r="L9" s="4" t="s">
        <v>63</v>
      </c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215333.59980930178</v>
      </c>
      <c r="K10" s="4" t="s">
        <v>62</v>
      </c>
      <c r="L10" s="4">
        <f>DATA!G18-SUM(DATA!G3:G11)</f>
        <v>251059.20000000007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t="s">
        <v>112</v>
      </c>
      <c r="L11" s="4">
        <f>'8'!L11-L5</f>
        <v>601776</v>
      </c>
    </row>
    <row r="12" spans="1:12" x14ac:dyDescent="0.2">
      <c r="A12" t="s">
        <v>69</v>
      </c>
      <c r="B12">
        <v>1920</v>
      </c>
      <c r="C12">
        <f>B12*$C$9</f>
        <v>23040</v>
      </c>
      <c r="H12" s="4" t="s">
        <v>55</v>
      </c>
      <c r="I12" s="4"/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s="25" t="s">
        <v>64</v>
      </c>
      <c r="L13" s="25">
        <f>SUM(L10:L11)</f>
        <v>852835.20000000007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DATA!C71</f>
        <v>1150</v>
      </c>
      <c r="C15">
        <f>B15*C9</f>
        <v>13800</v>
      </c>
      <c r="H15" s="4" t="s">
        <v>58</v>
      </c>
      <c r="I15" s="4"/>
    </row>
    <row r="16" spans="1:12" x14ac:dyDescent="0.2">
      <c r="A16" t="s">
        <v>62</v>
      </c>
      <c r="B16">
        <f>C16/C9</f>
        <v>2464.0000000000005</v>
      </c>
      <c r="C16">
        <f>L4</f>
        <v>29568.000000000004</v>
      </c>
    </row>
    <row r="17" spans="1:12" x14ac:dyDescent="0.2">
      <c r="A17" t="s">
        <v>112</v>
      </c>
      <c r="B17">
        <f>C17/12</f>
        <v>12537</v>
      </c>
      <c r="C17">
        <f>L5</f>
        <v>150444</v>
      </c>
      <c r="H17" s="4"/>
      <c r="I17" s="4" t="s">
        <v>59</v>
      </c>
    </row>
    <row r="18" spans="1:12" x14ac:dyDescent="0.2"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2000</v>
      </c>
      <c r="C20">
        <f>B20*$C$9</f>
        <v>24000</v>
      </c>
      <c r="E20" s="20" t="s">
        <v>28</v>
      </c>
      <c r="F20" s="19">
        <f>I30-L21</f>
        <v>1604243.2279176787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(SUM(I4:I5)+SUM(I8:I9)+SUM(I12:I15)+SUM(I18))-G36</f>
        <v>818862.25570751377</v>
      </c>
      <c r="K21" s="23" t="s">
        <v>37</v>
      </c>
      <c r="L21" s="38">
        <f>L7+L13</f>
        <v>1032847.2000000001</v>
      </c>
    </row>
    <row r="22" spans="1:12" ht="15" thickTop="1" x14ac:dyDescent="0.2">
      <c r="A22" t="s">
        <v>83</v>
      </c>
      <c r="B22">
        <v>350</v>
      </c>
      <c r="C22">
        <f>B22*C9</f>
        <v>4200</v>
      </c>
    </row>
    <row r="23" spans="1:12" x14ac:dyDescent="0.2">
      <c r="A23" t="s">
        <v>117</v>
      </c>
      <c r="B23">
        <v>10000</v>
      </c>
      <c r="C23">
        <f>B23*C9</f>
        <v>120000</v>
      </c>
      <c r="I23" s="19"/>
    </row>
    <row r="24" spans="1:12" x14ac:dyDescent="0.2">
      <c r="F24" s="20"/>
    </row>
    <row r="25" spans="1:12" x14ac:dyDescent="0.2">
      <c r="A25" t="s">
        <v>133</v>
      </c>
      <c r="C25" s="8">
        <f>E101</f>
        <v>56604.164672229716</v>
      </c>
      <c r="F25" s="20"/>
    </row>
    <row r="26" spans="1:12" x14ac:dyDescent="0.2">
      <c r="B26" s="4" t="s">
        <v>84</v>
      </c>
      <c r="C26" s="41">
        <f>SUM(C10:C25)</f>
        <v>647694.16467222967</v>
      </c>
    </row>
    <row r="27" spans="1:12" x14ac:dyDescent="0.2">
      <c r="B27" s="4" t="s">
        <v>85</v>
      </c>
      <c r="C27" s="41">
        <f>C26/C9</f>
        <v>53974.513722685806</v>
      </c>
      <c r="G27" s="22">
        <v>0.4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818862.25570751377</v>
      </c>
      <c r="E29">
        <v>2</v>
      </c>
      <c r="F29" t="s">
        <v>137</v>
      </c>
      <c r="G29">
        <f>DATA!B158</f>
        <v>62788.509879380807</v>
      </c>
      <c r="I29">
        <f>DATA!C90</f>
        <v>1094000</v>
      </c>
    </row>
    <row r="30" spans="1:12" x14ac:dyDescent="0.2">
      <c r="A30" s="20" t="s">
        <v>25</v>
      </c>
      <c r="B30" s="20">
        <f>I21</f>
        <v>818862.25570751377</v>
      </c>
      <c r="C30" s="20"/>
      <c r="E30">
        <v>3</v>
      </c>
      <c r="F30" t="s">
        <v>137</v>
      </c>
      <c r="G30">
        <f>DATA!C158</f>
        <v>57968.783712677599</v>
      </c>
      <c r="I30" s="19">
        <f>I21+G38+I29</f>
        <v>2637090.4279176788</v>
      </c>
    </row>
    <row r="31" spans="1:12" x14ac:dyDescent="0.2">
      <c r="A31" s="20" t="s">
        <v>26</v>
      </c>
      <c r="B31" s="20">
        <f>L7</f>
        <v>180012</v>
      </c>
      <c r="C31" s="20"/>
      <c r="E31">
        <v>4</v>
      </c>
      <c r="F31" t="s">
        <v>137</v>
      </c>
      <c r="G31">
        <f>DATA!D158</f>
        <v>108206.77600680433</v>
      </c>
    </row>
    <row r="32" spans="1:12" x14ac:dyDescent="0.2">
      <c r="A32" s="20"/>
      <c r="B32" s="21">
        <f>B30/B31</f>
        <v>4.5489314918311763</v>
      </c>
      <c r="C32" s="20" t="s">
        <v>87</v>
      </c>
      <c r="E32">
        <v>5</v>
      </c>
      <c r="F32" t="s">
        <v>137</v>
      </c>
      <c r="G32">
        <f>DATA!E158</f>
        <v>108923.58412938596</v>
      </c>
    </row>
    <row r="33" spans="1:7" x14ac:dyDescent="0.2">
      <c r="A33" s="20"/>
      <c r="B33" s="20"/>
      <c r="C33" s="20"/>
      <c r="D33" s="20"/>
      <c r="E33" s="20">
        <v>6</v>
      </c>
      <c r="F33" t="s">
        <v>138</v>
      </c>
      <c r="G33">
        <f>DATA!F157</f>
        <v>130524.4209361674</v>
      </c>
    </row>
    <row r="34" spans="1:7" x14ac:dyDescent="0.2">
      <c r="A34" s="20"/>
      <c r="B34" s="20" t="s">
        <v>20</v>
      </c>
      <c r="C34" s="20"/>
      <c r="E34">
        <v>7</v>
      </c>
      <c r="F34" t="s">
        <v>136</v>
      </c>
      <c r="G34">
        <f>DATA!G158</f>
        <v>71191.059352097858</v>
      </c>
    </row>
    <row r="35" spans="1:7" x14ac:dyDescent="0.2">
      <c r="A35" s="20"/>
      <c r="B35" s="20" t="s">
        <v>23</v>
      </c>
      <c r="C35" s="20"/>
      <c r="E35">
        <v>8</v>
      </c>
      <c r="F35" t="s">
        <v>136</v>
      </c>
      <c r="G35">
        <f>DATA!H158</f>
        <v>90308.921477176933</v>
      </c>
    </row>
    <row r="36" spans="1:7" x14ac:dyDescent="0.2">
      <c r="A36" s="20" t="s">
        <v>25</v>
      </c>
      <c r="B36" s="20">
        <f>B30</f>
        <v>818862.25570751377</v>
      </c>
      <c r="C36" s="20"/>
      <c r="E36">
        <v>9</v>
      </c>
      <c r="F36" t="s">
        <v>136</v>
      </c>
      <c r="G36">
        <f>DATA!I158</f>
        <v>94316.116716474193</v>
      </c>
    </row>
    <row r="37" spans="1:7" x14ac:dyDescent="0.2">
      <c r="A37" s="20" t="s">
        <v>27</v>
      </c>
      <c r="B37" s="20">
        <f>C27</f>
        <v>53974.513722685806</v>
      </c>
      <c r="C37" s="20"/>
    </row>
    <row r="38" spans="1:7" x14ac:dyDescent="0.2">
      <c r="A38" s="20"/>
      <c r="B38" s="21">
        <f>B36/B37</f>
        <v>15.171276204816296</v>
      </c>
      <c r="C38" s="20" t="s">
        <v>87</v>
      </c>
      <c r="G38">
        <f>SUM(G29:G37)</f>
        <v>724228.17221016507</v>
      </c>
    </row>
    <row r="40" spans="1:7" x14ac:dyDescent="0.2">
      <c r="A40" s="20"/>
      <c r="B40" s="20" t="s">
        <v>21</v>
      </c>
    </row>
    <row r="41" spans="1:7" x14ac:dyDescent="0.2">
      <c r="A41" s="20"/>
      <c r="B41" s="20" t="s">
        <v>24</v>
      </c>
    </row>
    <row r="42" spans="1:7" x14ac:dyDescent="0.2">
      <c r="A42" s="20" t="s">
        <v>25</v>
      </c>
      <c r="B42" s="20">
        <f>B30</f>
        <v>818862.25570751377</v>
      </c>
    </row>
    <row r="43" spans="1:7" x14ac:dyDescent="0.2">
      <c r="A43" s="20" t="s">
        <v>28</v>
      </c>
      <c r="B43" s="20">
        <f>F20</f>
        <v>1604243.2279176787</v>
      </c>
    </row>
    <row r="44" spans="1:7" x14ac:dyDescent="0.2">
      <c r="A44" s="20"/>
      <c r="B44" s="32">
        <f>B42/B43</f>
        <v>0.51043522668966101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1032847.2000000001</v>
      </c>
      <c r="C48" s="20"/>
    </row>
    <row r="49" spans="1:6" x14ac:dyDescent="0.2">
      <c r="A49" s="20" t="s">
        <v>40</v>
      </c>
      <c r="B49" s="20">
        <f>I30</f>
        <v>2637090.4279176788</v>
      </c>
      <c r="C49" s="20"/>
    </row>
    <row r="50" spans="1:6" x14ac:dyDescent="0.2">
      <c r="A50" s="20"/>
      <c r="B50" s="32">
        <f>B48/B49</f>
        <v>0.3916616544755977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1604243.2279176787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2637090.4279176788</v>
      </c>
      <c r="C55" s="20"/>
    </row>
    <row r="56" spans="1:6" x14ac:dyDescent="0.2">
      <c r="A56" s="20"/>
      <c r="B56" s="32">
        <f>B54/B55</f>
        <v>0.60833834552440225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L7</f>
        <v>180012</v>
      </c>
    </row>
    <row r="61" spans="1:6" x14ac:dyDescent="0.2">
      <c r="A61" s="20" t="s">
        <v>41</v>
      </c>
      <c r="B61" s="20">
        <f>E2</f>
        <v>863027.76448153146</v>
      </c>
      <c r="F61" s="20"/>
    </row>
    <row r="62" spans="1:6" x14ac:dyDescent="0.2">
      <c r="A62" s="20"/>
      <c r="B62" s="33">
        <f>B60/B61</f>
        <v>0.20858193375521722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15001</v>
      </c>
    </row>
    <row r="67" spans="1:6" x14ac:dyDescent="0.2">
      <c r="A67" s="20" t="s">
        <v>42</v>
      </c>
      <c r="B67" s="20">
        <f>B61/12</f>
        <v>71918.98037346096</v>
      </c>
    </row>
    <row r="68" spans="1:6" x14ac:dyDescent="0.2">
      <c r="A68" s="20"/>
      <c r="B68" s="33">
        <f>B66/B67</f>
        <v>0.20858193375521719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818862.25570751377</v>
      </c>
    </row>
    <row r="73" spans="1:6" x14ac:dyDescent="0.2">
      <c r="A73" s="20" t="s">
        <v>15</v>
      </c>
      <c r="B73" s="20">
        <f>E2</f>
        <v>863027.76448153146</v>
      </c>
    </row>
    <row r="74" spans="1:6" x14ac:dyDescent="0.2">
      <c r="A74" s="20"/>
      <c r="B74" s="32">
        <f>B72/B73</f>
        <v>0.94882492708615196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G38</f>
        <v>724228.17221016507</v>
      </c>
      <c r="C78" s="20"/>
    </row>
    <row r="79" spans="1:6" x14ac:dyDescent="0.2">
      <c r="A79" s="20" t="s">
        <v>28</v>
      </c>
      <c r="B79" s="20">
        <f>B43</f>
        <v>1604243.2279176787</v>
      </c>
      <c r="C79" s="20"/>
    </row>
    <row r="80" spans="1:6" x14ac:dyDescent="0.2">
      <c r="A80" s="20"/>
      <c r="B80" s="32">
        <f>B78/B79</f>
        <v>0.45144536664195206</v>
      </c>
      <c r="C80" s="20"/>
    </row>
    <row r="90" spans="1:5" ht="15" thickBot="1" x14ac:dyDescent="0.25">
      <c r="A90" s="43">
        <f>A91-B107</f>
        <v>694027.76448153146</v>
      </c>
    </row>
    <row r="91" spans="1:5" ht="21" thickTop="1" thickBot="1" x14ac:dyDescent="0.25">
      <c r="A91" s="44">
        <f>E2</f>
        <v>863027.76448153146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200000</v>
      </c>
      <c r="D95" s="46">
        <v>0.1</v>
      </c>
      <c r="E95" s="47">
        <f t="shared" si="0"/>
        <v>20000</v>
      </c>
    </row>
    <row r="96" spans="1:5" x14ac:dyDescent="0.2">
      <c r="B96" s="45" t="s">
        <v>128</v>
      </c>
      <c r="C96" s="7">
        <f>IF((A90-C93-C94-C95)&gt;=250000,250000,(A90-C93-C94-C95))</f>
        <v>194027.76448153146</v>
      </c>
      <c r="D96" s="46">
        <v>0.15</v>
      </c>
      <c r="E96" s="47">
        <f t="shared" si="0"/>
        <v>29104.164672229719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0</v>
      </c>
      <c r="D97" s="46">
        <v>0.2</v>
      </c>
      <c r="E97" s="47">
        <f t="shared" si="0"/>
        <v>0</v>
      </c>
    </row>
    <row r="98" spans="1:5" x14ac:dyDescent="0.2">
      <c r="B98" s="45" t="s">
        <v>130</v>
      </c>
      <c r="C98" s="7">
        <f>IF((A90-C93-C94-C95-C96-C97)&gt;=1000000,1000000,(A90-C93-C94-C95-C96-C97))</f>
        <v>0</v>
      </c>
      <c r="D98" s="46">
        <v>0.25</v>
      </c>
      <c r="E98" s="47">
        <f t="shared" si="0"/>
        <v>0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56604.164672229716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B107" s="42">
        <f>SUM(B104:B106)</f>
        <v>169000</v>
      </c>
    </row>
  </sheetData>
  <mergeCells count="1">
    <mergeCell ref="A103:B103"/>
  </mergeCells>
  <conditionalFormatting sqref="B32">
    <cfRule type="cellIs" dxfId="132" priority="18" operator="greaterThan">
      <formula>0.9999999999</formula>
    </cfRule>
    <cfRule type="cellIs" dxfId="131" priority="19" operator="lessThan">
      <formula>1</formula>
    </cfRule>
  </conditionalFormatting>
  <conditionalFormatting sqref="B38">
    <cfRule type="cellIs" dxfId="130" priority="16" operator="greaterThan">
      <formula>5.9999</formula>
    </cfRule>
    <cfRule type="cellIs" dxfId="129" priority="17" operator="lessThan">
      <formula>3</formula>
    </cfRule>
  </conditionalFormatting>
  <conditionalFormatting sqref="B44">
    <cfRule type="cellIs" dxfId="128" priority="13" operator="greaterThan">
      <formula>0.29</formula>
    </cfRule>
    <cfRule type="cellIs" dxfId="127" priority="14" operator="lessThan">
      <formula>0.05</formula>
    </cfRule>
    <cfRule type="cellIs" dxfId="126" priority="15" operator="greaterThan">
      <formula>0.049</formula>
    </cfRule>
  </conditionalFormatting>
  <conditionalFormatting sqref="B50">
    <cfRule type="cellIs" dxfId="125" priority="11" operator="greaterThan">
      <formula>0.49</formula>
    </cfRule>
    <cfRule type="cellIs" dxfId="124" priority="12" operator="lessThan">
      <formula>0.41</formula>
    </cfRule>
  </conditionalFormatting>
  <conditionalFormatting sqref="B56">
    <cfRule type="cellIs" dxfId="123" priority="9" operator="lessThan">
      <formula>0.41</formula>
    </cfRule>
    <cfRule type="cellIs" dxfId="122" priority="10" operator="greaterThan">
      <formula>0.59</formula>
    </cfRule>
  </conditionalFormatting>
  <conditionalFormatting sqref="B62">
    <cfRule type="cellIs" dxfId="121" priority="7" operator="greaterThan">
      <formula>0.39</formula>
    </cfRule>
    <cfRule type="cellIs" dxfId="120" priority="8" operator="lessThan">
      <formula>0.281</formula>
    </cfRule>
  </conditionalFormatting>
  <conditionalFormatting sqref="B68">
    <cfRule type="cellIs" dxfId="119" priority="5" operator="greaterThan">
      <formula>0.39</formula>
    </cfRule>
    <cfRule type="cellIs" dxfId="118" priority="6" operator="lessThan">
      <formula>0.281</formula>
    </cfRule>
  </conditionalFormatting>
  <conditionalFormatting sqref="B74">
    <cfRule type="cellIs" dxfId="117" priority="3" operator="lessThan">
      <formula>0.1</formula>
    </cfRule>
    <cfRule type="cellIs" dxfId="116" priority="4" operator="greaterThan">
      <formula>0.19</formula>
    </cfRule>
  </conditionalFormatting>
  <conditionalFormatting sqref="B80">
    <cfRule type="cellIs" dxfId="115" priority="1" operator="lessThan">
      <formula>0.3</formula>
    </cfRule>
    <cfRule type="cellIs" dxfId="114" priority="2" operator="greaterThan">
      <formula>0.49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6796-5E73-4EAF-A08F-E25B36EE86E5}">
  <dimension ref="A1:L108"/>
  <sheetViews>
    <sheetView topLeftCell="E1" workbookViewId="0">
      <selection activeCell="B109" sqref="B109"/>
    </sheetView>
  </sheetViews>
  <sheetFormatPr defaultRowHeight="14.25" x14ac:dyDescent="0.2"/>
  <cols>
    <col min="1" max="1" width="28.75" bestFit="1" customWidth="1"/>
    <col min="2" max="2" width="16.625" bestFit="1" customWidth="1"/>
    <col min="3" max="3" width="13.75" bestFit="1" customWidth="1"/>
    <col min="4" max="4" width="19.125" bestFit="1" customWidth="1"/>
    <col min="5" max="5" width="17.375" bestFit="1" customWidth="1"/>
    <col min="6" max="6" width="18.5" bestFit="1" customWidth="1"/>
    <col min="8" max="8" width="60.25" bestFit="1" customWidth="1"/>
    <col min="9" max="9" width="46.5" bestFit="1" customWidth="1"/>
    <col min="11" max="11" width="23.37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DATA!D40</f>
        <v>10</v>
      </c>
      <c r="B2" s="11">
        <f>DATA!E40</f>
        <v>48091.17469533399</v>
      </c>
      <c r="C2" s="11">
        <f>DATA!F40</f>
        <v>577094.09634400788</v>
      </c>
      <c r="D2" s="11">
        <f>DATA!G40</f>
        <v>376097.20727040013</v>
      </c>
      <c r="E2" s="11">
        <f>DATA!H40</f>
        <v>953191.30361440801</v>
      </c>
      <c r="F2" s="11">
        <f>DATA!I40</f>
        <v>79432.608634534001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'9'!I21+F10</f>
        <v>933579.5221398162</v>
      </c>
      <c r="K4" s="4" t="s">
        <v>62</v>
      </c>
      <c r="L4" s="4">
        <f>DATA!G12</f>
        <v>33139.199999999997</v>
      </c>
    </row>
    <row r="5" spans="1:12" x14ac:dyDescent="0.2">
      <c r="H5" s="4" t="s">
        <v>50</v>
      </c>
      <c r="I5" s="4" t="s">
        <v>66</v>
      </c>
      <c r="K5" t="s">
        <v>112</v>
      </c>
      <c r="L5" s="4">
        <f>DATA!C96</f>
        <v>150444</v>
      </c>
    </row>
    <row r="6" spans="1:12" x14ac:dyDescent="0.2">
      <c r="K6" t="s">
        <v>114</v>
      </c>
      <c r="L6">
        <f>DATA!F96</f>
        <v>177680.8039749396</v>
      </c>
    </row>
    <row r="7" spans="1:12" x14ac:dyDescent="0.2">
      <c r="H7" s="4"/>
      <c r="I7" s="4" t="s">
        <v>51</v>
      </c>
    </row>
    <row r="8" spans="1:12" x14ac:dyDescent="0.2">
      <c r="C8" s="2">
        <v>10</v>
      </c>
      <c r="H8" s="4" t="s">
        <v>52</v>
      </c>
      <c r="I8" s="4"/>
      <c r="K8" s="25" t="s">
        <v>65</v>
      </c>
      <c r="L8" s="25">
        <f>SUM(L4:L6)</f>
        <v>361264.00397493958</v>
      </c>
    </row>
    <row r="9" spans="1:12" x14ac:dyDescent="0.2">
      <c r="B9" t="s">
        <v>81</v>
      </c>
      <c r="C9">
        <v>12</v>
      </c>
      <c r="H9" s="4" t="s">
        <v>53</v>
      </c>
      <c r="I9" s="4"/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114717.26643230242</v>
      </c>
      <c r="K10" s="4"/>
      <c r="L10" s="4" t="s">
        <v>63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s="4" t="s">
        <v>62</v>
      </c>
      <c r="L11" s="4">
        <f>DATA!G18-SUM(DATA!G3:G12)</f>
        <v>217920.00000000006</v>
      </c>
    </row>
    <row r="12" spans="1:12" x14ac:dyDescent="0.2">
      <c r="A12" t="s">
        <v>69</v>
      </c>
      <c r="B12">
        <v>1920</v>
      </c>
      <c r="C12">
        <f>B12*$C$9</f>
        <v>23040</v>
      </c>
      <c r="H12" s="4" t="s">
        <v>55</v>
      </c>
      <c r="I12" s="4"/>
      <c r="K12" t="s">
        <v>112</v>
      </c>
      <c r="L12" s="4">
        <f>'9'!L11-L5</f>
        <v>451332</v>
      </c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t="s">
        <v>114</v>
      </c>
      <c r="L13">
        <f>DATA!F103-L6</f>
        <v>5152743.3152732486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DATA!C71</f>
        <v>1150</v>
      </c>
      <c r="C15">
        <f>B15*C9</f>
        <v>13800</v>
      </c>
      <c r="H15" s="4" t="s">
        <v>58</v>
      </c>
      <c r="I15" s="4"/>
      <c r="K15" s="25" t="s">
        <v>64</v>
      </c>
      <c r="L15" s="25">
        <f>SUM(L11:L13)</f>
        <v>5821995.3152732486</v>
      </c>
    </row>
    <row r="16" spans="1:12" x14ac:dyDescent="0.2">
      <c r="A16" t="s">
        <v>62</v>
      </c>
      <c r="B16">
        <f>C16/C9</f>
        <v>2761.6</v>
      </c>
      <c r="C16">
        <f>L4</f>
        <v>33139.199999999997</v>
      </c>
    </row>
    <row r="17" spans="1:12" x14ac:dyDescent="0.2">
      <c r="A17" t="s">
        <v>112</v>
      </c>
      <c r="B17">
        <f>C17/12</f>
        <v>12537</v>
      </c>
      <c r="C17">
        <f>L5</f>
        <v>150444</v>
      </c>
      <c r="H17" s="4"/>
      <c r="I17" s="4" t="s">
        <v>59</v>
      </c>
    </row>
    <row r="18" spans="1:12" x14ac:dyDescent="0.2">
      <c r="A18" t="s">
        <v>114</v>
      </c>
      <c r="B18">
        <f>C18/C9</f>
        <v>14806.7336645783</v>
      </c>
      <c r="C18">
        <f>L6</f>
        <v>177680.8039749396</v>
      </c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2000</v>
      </c>
      <c r="C20">
        <f>B20*$C$9</f>
        <v>24000</v>
      </c>
      <c r="E20" s="20" t="s">
        <v>28</v>
      </c>
      <c r="F20" s="19">
        <f>I31-L21</f>
        <v>1066146.0393065307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(SUM(I4:I5)+SUM(I8:I9)+SUM(I12:I15)+SUM(I18))-G37-I23</f>
        <v>11655.774106182391</v>
      </c>
      <c r="K21" s="23" t="s">
        <v>37</v>
      </c>
      <c r="L21" s="38">
        <f>L8+L15</f>
        <v>6183259.3192481883</v>
      </c>
    </row>
    <row r="22" spans="1:12" ht="15" thickTop="1" x14ac:dyDescent="0.2">
      <c r="A22" t="s">
        <v>83</v>
      </c>
      <c r="B22">
        <v>550</v>
      </c>
      <c r="C22">
        <f>B22*C9</f>
        <v>6600</v>
      </c>
    </row>
    <row r="23" spans="1:12" x14ac:dyDescent="0.2">
      <c r="A23" t="s">
        <v>117</v>
      </c>
      <c r="B23">
        <v>10000</v>
      </c>
      <c r="C23">
        <f>B23*C9</f>
        <v>120000</v>
      </c>
      <c r="H23" t="s">
        <v>102</v>
      </c>
      <c r="I23" s="19">
        <f>DATA!F98</f>
        <v>878000</v>
      </c>
    </row>
    <row r="24" spans="1:12" x14ac:dyDescent="0.2">
      <c r="F24" s="20"/>
    </row>
    <row r="25" spans="1:12" x14ac:dyDescent="0.2">
      <c r="A25" t="s">
        <v>133</v>
      </c>
      <c r="C25" s="8">
        <f>E101</f>
        <v>63732.033207165987</v>
      </c>
      <c r="F25" s="20"/>
    </row>
    <row r="26" spans="1:12" x14ac:dyDescent="0.2">
      <c r="B26" s="4" t="s">
        <v>84</v>
      </c>
      <c r="C26" s="41">
        <f>SUM(C10:C25)</f>
        <v>838474.03718210559</v>
      </c>
    </row>
    <row r="27" spans="1:12" x14ac:dyDescent="0.2">
      <c r="B27" s="4" t="s">
        <v>85</v>
      </c>
      <c r="C27" s="41">
        <f>C26/C9</f>
        <v>69872.836431842137</v>
      </c>
      <c r="G27" s="22">
        <v>0.4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11655.774106182391</v>
      </c>
      <c r="E29">
        <v>2</v>
      </c>
      <c r="F29" t="s">
        <v>137</v>
      </c>
      <c r="G29">
        <f>DATA!B159</f>
        <v>64986.107725159127</v>
      </c>
      <c r="I29">
        <f>DATA!C90</f>
        <v>1094000</v>
      </c>
    </row>
    <row r="30" spans="1:12" x14ac:dyDescent="0.2">
      <c r="A30" s="20" t="s">
        <v>25</v>
      </c>
      <c r="B30" s="20">
        <f>I21</f>
        <v>11655.774106182391</v>
      </c>
      <c r="C30" s="20"/>
      <c r="E30">
        <v>3</v>
      </c>
      <c r="F30" t="s">
        <v>137</v>
      </c>
      <c r="G30">
        <f>DATA!C159</f>
        <v>59997.691142621305</v>
      </c>
      <c r="I30">
        <f>DATA!F103</f>
        <v>5330424.1192481881</v>
      </c>
    </row>
    <row r="31" spans="1:12" x14ac:dyDescent="0.2">
      <c r="A31" s="20" t="s">
        <v>26</v>
      </c>
      <c r="B31" s="20">
        <f>L8</f>
        <v>361264.00397493958</v>
      </c>
      <c r="C31" s="20"/>
      <c r="E31">
        <v>4</v>
      </c>
      <c r="F31" t="s">
        <v>137</v>
      </c>
      <c r="G31">
        <f>DATA!D159</f>
        <v>111994.01316704247</v>
      </c>
      <c r="I31" s="19">
        <f>I21+G43+I29+I30</f>
        <v>7249405.358554719</v>
      </c>
    </row>
    <row r="32" spans="1:12" x14ac:dyDescent="0.2">
      <c r="A32" s="20"/>
      <c r="B32" s="21">
        <f>B30/B31</f>
        <v>3.2263867913590795E-2</v>
      </c>
      <c r="C32" s="20" t="s">
        <v>87</v>
      </c>
      <c r="E32">
        <v>5</v>
      </c>
      <c r="F32" t="s">
        <v>137</v>
      </c>
      <c r="G32">
        <f>DATA!E159</f>
        <v>112735.90957391447</v>
      </c>
    </row>
    <row r="33" spans="1:7" x14ac:dyDescent="0.2">
      <c r="A33" s="20"/>
      <c r="B33" s="20"/>
      <c r="C33" s="20"/>
      <c r="D33" s="20"/>
      <c r="E33" s="20">
        <v>6</v>
      </c>
      <c r="F33" t="s">
        <v>138</v>
      </c>
      <c r="G33">
        <f>DATA!F159</f>
        <v>139569.368745382</v>
      </c>
    </row>
    <row r="34" spans="1:7" x14ac:dyDescent="0.2">
      <c r="A34" s="20"/>
      <c r="B34" s="20" t="s">
        <v>20</v>
      </c>
      <c r="C34" s="20"/>
      <c r="E34">
        <v>7</v>
      </c>
      <c r="F34" t="s">
        <v>136</v>
      </c>
      <c r="G34">
        <f>DATA!G159</f>
        <v>77954.20999054717</v>
      </c>
    </row>
    <row r="35" spans="1:7" x14ac:dyDescent="0.2">
      <c r="A35" s="20"/>
      <c r="B35" s="20" t="s">
        <v>23</v>
      </c>
      <c r="C35" s="20"/>
      <c r="E35">
        <v>8</v>
      </c>
      <c r="F35" t="s">
        <v>136</v>
      </c>
      <c r="G35">
        <f>DATA!H159</f>
        <v>98888.269017508734</v>
      </c>
    </row>
    <row r="36" spans="1:7" x14ac:dyDescent="0.2">
      <c r="A36" s="20" t="s">
        <v>25</v>
      </c>
      <c r="B36" s="20">
        <f>B30</f>
        <v>11655.774106182391</v>
      </c>
      <c r="C36" s="20"/>
      <c r="E36">
        <v>9</v>
      </c>
      <c r="F36" t="s">
        <v>136</v>
      </c>
      <c r="G36">
        <f>DATA!I159</f>
        <v>103276.14780453924</v>
      </c>
    </row>
    <row r="37" spans="1:7" x14ac:dyDescent="0.2">
      <c r="A37" s="20" t="s">
        <v>27</v>
      </c>
      <c r="B37" s="20">
        <f>C27</f>
        <v>69872.836431842137</v>
      </c>
      <c r="C37" s="20"/>
      <c r="E37">
        <v>10</v>
      </c>
      <c r="F37" t="s">
        <v>134</v>
      </c>
      <c r="G37">
        <f>DATA!J159</f>
        <v>43923.748033633754</v>
      </c>
    </row>
    <row r="38" spans="1:7" x14ac:dyDescent="0.2">
      <c r="A38" s="20"/>
      <c r="B38" s="21">
        <f>B36/B37</f>
        <v>0.16681409688516199</v>
      </c>
      <c r="C38" s="20" t="s">
        <v>87</v>
      </c>
      <c r="E38">
        <v>11</v>
      </c>
    </row>
    <row r="39" spans="1:7" x14ac:dyDescent="0.2">
      <c r="E39">
        <v>12</v>
      </c>
    </row>
    <row r="40" spans="1:7" x14ac:dyDescent="0.2">
      <c r="A40" s="20"/>
      <c r="B40" s="20" t="s">
        <v>21</v>
      </c>
      <c r="E40">
        <v>13</v>
      </c>
    </row>
    <row r="41" spans="1:7" x14ac:dyDescent="0.2">
      <c r="A41" s="20"/>
      <c r="B41" s="20" t="s">
        <v>24</v>
      </c>
      <c r="E41">
        <v>14</v>
      </c>
    </row>
    <row r="42" spans="1:7" x14ac:dyDescent="0.2">
      <c r="A42" s="20" t="s">
        <v>25</v>
      </c>
      <c r="B42" s="20">
        <f>B30</f>
        <v>11655.774106182391</v>
      </c>
      <c r="E42">
        <v>15</v>
      </c>
    </row>
    <row r="43" spans="1:7" x14ac:dyDescent="0.2">
      <c r="A43" s="20" t="s">
        <v>28</v>
      </c>
      <c r="B43" s="20">
        <f>F20</f>
        <v>1066146.0393065307</v>
      </c>
      <c r="G43">
        <f>SUM(G29:G42)</f>
        <v>813325.46520034841</v>
      </c>
    </row>
    <row r="44" spans="1:7" x14ac:dyDescent="0.2">
      <c r="A44" s="20"/>
      <c r="B44" s="39">
        <f>B42/B43</f>
        <v>1.0932624308920971E-2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6183259.3192481883</v>
      </c>
      <c r="C48" s="20"/>
    </row>
    <row r="49" spans="1:6" x14ac:dyDescent="0.2">
      <c r="A49" s="20" t="s">
        <v>40</v>
      </c>
      <c r="B49" s="20">
        <f>I31</f>
        <v>7249405.358554719</v>
      </c>
      <c r="C49" s="20"/>
    </row>
    <row r="50" spans="1:6" x14ac:dyDescent="0.2">
      <c r="A50" s="20"/>
      <c r="B50" s="32">
        <f>B48/B49</f>
        <v>0.85293331155107555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1066146.0393065307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7249405.358554719</v>
      </c>
      <c r="C55" s="20"/>
    </row>
    <row r="56" spans="1:6" x14ac:dyDescent="0.2">
      <c r="A56" s="20"/>
      <c r="B56" s="32">
        <f>B54/B55</f>
        <v>0.14706668844892451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L8</f>
        <v>361264.00397493958</v>
      </c>
    </row>
    <row r="61" spans="1:6" x14ac:dyDescent="0.2">
      <c r="A61" s="20" t="s">
        <v>41</v>
      </c>
      <c r="B61" s="20">
        <f>E2</f>
        <v>953191.30361440801</v>
      </c>
      <c r="F61" s="20"/>
    </row>
    <row r="62" spans="1:6" x14ac:dyDescent="0.2">
      <c r="A62" s="20"/>
      <c r="B62" s="33">
        <f>B60/B61</f>
        <v>0.37900472088348047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30105.333664578298</v>
      </c>
    </row>
    <row r="67" spans="1:6" x14ac:dyDescent="0.2">
      <c r="A67" s="20" t="s">
        <v>42</v>
      </c>
      <c r="B67" s="20">
        <f>B61/12</f>
        <v>79432.608634534001</v>
      </c>
    </row>
    <row r="68" spans="1:6" x14ac:dyDescent="0.2">
      <c r="A68" s="20"/>
      <c r="B68" s="33">
        <f>B66/B67</f>
        <v>0.37900472088348047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11655.774106182391</v>
      </c>
    </row>
    <row r="73" spans="1:6" x14ac:dyDescent="0.2">
      <c r="A73" s="20" t="s">
        <v>15</v>
      </c>
      <c r="B73" s="20">
        <f>E2</f>
        <v>953191.30361440801</v>
      </c>
    </row>
    <row r="74" spans="1:6" x14ac:dyDescent="0.2">
      <c r="A74" s="20"/>
      <c r="B74" s="32">
        <f>B72/B73</f>
        <v>1.2228158253211961E-2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G43</f>
        <v>813325.46520034841</v>
      </c>
      <c r="C78" s="20"/>
    </row>
    <row r="79" spans="1:6" x14ac:dyDescent="0.2">
      <c r="A79" s="20" t="s">
        <v>28</v>
      </c>
      <c r="B79" s="20">
        <f>B43</f>
        <v>1066146.0393065307</v>
      </c>
      <c r="C79" s="20"/>
    </row>
    <row r="80" spans="1:6" x14ac:dyDescent="0.2">
      <c r="A80" s="20"/>
      <c r="B80" s="32">
        <f>B78/B79</f>
        <v>0.76286496897683154</v>
      </c>
      <c r="C80" s="20"/>
    </row>
    <row r="90" spans="1:5" ht="15" thickBot="1" x14ac:dyDescent="0.25">
      <c r="A90" s="43">
        <f>A91-B108</f>
        <v>741546.88804777327</v>
      </c>
    </row>
    <row r="91" spans="1:5" ht="21" thickTop="1" thickBot="1" x14ac:dyDescent="0.25">
      <c r="A91" s="44">
        <f>E2</f>
        <v>953191.30361440801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200000</v>
      </c>
      <c r="D95" s="46">
        <v>0.1</v>
      </c>
      <c r="E95" s="47">
        <f t="shared" si="0"/>
        <v>20000</v>
      </c>
    </row>
    <row r="96" spans="1:5" x14ac:dyDescent="0.2">
      <c r="B96" s="45" t="s">
        <v>128</v>
      </c>
      <c r="C96" s="7">
        <f>IF((A90-C93-C94-C95)&gt;=250000,250000,(A90-C93-C94-C95))</f>
        <v>241546.88804777327</v>
      </c>
      <c r="D96" s="46">
        <v>0.15</v>
      </c>
      <c r="E96" s="47">
        <f t="shared" si="0"/>
        <v>36232.033207165987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0</v>
      </c>
      <c r="D97" s="46">
        <v>0.2</v>
      </c>
      <c r="E97" s="47">
        <f t="shared" si="0"/>
        <v>0</v>
      </c>
    </row>
    <row r="98" spans="1:5" x14ac:dyDescent="0.2">
      <c r="B98" s="45" t="s">
        <v>130</v>
      </c>
      <c r="C98" s="7">
        <f>IF((A90-C93-C94-C95-C96-C97)&gt;=1000000,1000000,(A90-C93-C94-C95-C96-C97))</f>
        <v>0</v>
      </c>
      <c r="D98" s="46">
        <v>0.25</v>
      </c>
      <c r="E98" s="47">
        <f t="shared" si="0"/>
        <v>0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63732.033207165987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A107" s="50" t="s">
        <v>134</v>
      </c>
      <c r="B107" s="4">
        <f>DATA!E141</f>
        <v>42644.415566634714</v>
      </c>
    </row>
    <row r="108" spans="1:5" x14ac:dyDescent="0.2">
      <c r="B108" s="42">
        <f>SUM(B104:B107)</f>
        <v>211644.41556663471</v>
      </c>
    </row>
  </sheetData>
  <mergeCells count="1">
    <mergeCell ref="A103:B103"/>
  </mergeCells>
  <conditionalFormatting sqref="B32">
    <cfRule type="cellIs" dxfId="113" priority="18" operator="greaterThan">
      <formula>0.9999999999</formula>
    </cfRule>
    <cfRule type="cellIs" dxfId="112" priority="19" operator="lessThan">
      <formula>1</formula>
    </cfRule>
  </conditionalFormatting>
  <conditionalFormatting sqref="B38">
    <cfRule type="cellIs" dxfId="111" priority="16" operator="greaterThan">
      <formula>5.9999</formula>
    </cfRule>
    <cfRule type="cellIs" dxfId="110" priority="17" operator="lessThan">
      <formula>3</formula>
    </cfRule>
  </conditionalFormatting>
  <conditionalFormatting sqref="B44">
    <cfRule type="cellIs" dxfId="109" priority="13" operator="greaterThan">
      <formula>0.29</formula>
    </cfRule>
    <cfRule type="cellIs" dxfId="108" priority="14" operator="lessThan">
      <formula>0.05</formula>
    </cfRule>
    <cfRule type="cellIs" dxfId="107" priority="15" operator="greaterThan">
      <formula>0.049</formula>
    </cfRule>
  </conditionalFormatting>
  <conditionalFormatting sqref="B50">
    <cfRule type="cellIs" dxfId="106" priority="11" operator="greaterThan">
      <formula>0.49</formula>
    </cfRule>
    <cfRule type="cellIs" dxfId="105" priority="12" operator="lessThan">
      <formula>0.41</formula>
    </cfRule>
  </conditionalFormatting>
  <conditionalFormatting sqref="B56">
    <cfRule type="cellIs" dxfId="104" priority="9" operator="lessThan">
      <formula>0.41</formula>
    </cfRule>
    <cfRule type="cellIs" dxfId="103" priority="10" operator="greaterThan">
      <formula>0.59</formula>
    </cfRule>
  </conditionalFormatting>
  <conditionalFormatting sqref="B62">
    <cfRule type="cellIs" dxfId="102" priority="7" operator="greaterThan">
      <formula>0.39</formula>
    </cfRule>
    <cfRule type="cellIs" dxfId="101" priority="8" operator="lessThan">
      <formula>0.281</formula>
    </cfRule>
  </conditionalFormatting>
  <conditionalFormatting sqref="B68">
    <cfRule type="cellIs" dxfId="100" priority="5" operator="greaterThan">
      <formula>0.39</formula>
    </cfRule>
    <cfRule type="cellIs" dxfId="99" priority="6" operator="lessThan">
      <formula>0.281</formula>
    </cfRule>
  </conditionalFormatting>
  <conditionalFormatting sqref="B74">
    <cfRule type="cellIs" dxfId="98" priority="3" operator="lessThan">
      <formula>0.1</formula>
    </cfRule>
    <cfRule type="cellIs" dxfId="97" priority="4" operator="greaterThan">
      <formula>0.19</formula>
    </cfRule>
  </conditionalFormatting>
  <conditionalFormatting sqref="B80">
    <cfRule type="cellIs" dxfId="96" priority="1" operator="lessThan">
      <formula>0.3</formula>
    </cfRule>
    <cfRule type="cellIs" dxfId="95" priority="2" operator="greaterThan">
      <formula>0.49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4B91-5A68-4799-B90E-D5284351B719}">
  <dimension ref="A1:L108"/>
  <sheetViews>
    <sheetView topLeftCell="E17" workbookViewId="0">
      <selection activeCell="B108" sqref="B108"/>
    </sheetView>
  </sheetViews>
  <sheetFormatPr defaultRowHeight="14.25" x14ac:dyDescent="0.2"/>
  <cols>
    <col min="1" max="1" width="28.75" bestFit="1" customWidth="1"/>
    <col min="2" max="2" width="16.5" bestFit="1" customWidth="1"/>
    <col min="3" max="3" width="13.625" bestFit="1" customWidth="1"/>
    <col min="4" max="4" width="19" bestFit="1" customWidth="1"/>
    <col min="5" max="5" width="19.75" bestFit="1" customWidth="1"/>
    <col min="6" max="6" width="18.375" bestFit="1" customWidth="1"/>
    <col min="8" max="8" width="60.25" bestFit="1" customWidth="1"/>
    <col min="9" max="9" width="46.5" bestFit="1" customWidth="1"/>
    <col min="11" max="11" width="23.37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DATA!D41</f>
        <v>11</v>
      </c>
      <c r="B2">
        <f>DATA!E41</f>
        <v>50495.733430100692</v>
      </c>
      <c r="C2">
        <f>DATA!F41</f>
        <v>605948.80116120831</v>
      </c>
      <c r="D2">
        <f>DATA!G41</f>
        <v>526536.09017856012</v>
      </c>
      <c r="E2">
        <f>DATA!H41</f>
        <v>1132484.8913397684</v>
      </c>
      <c r="F2">
        <f>DATA!I41</f>
        <v>94373.740944980702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'10'!I21+F10</f>
        <v>288264.8008398388</v>
      </c>
      <c r="K4" s="4" t="s">
        <v>62</v>
      </c>
      <c r="L4" s="4">
        <f>DATA!G13</f>
        <v>36672</v>
      </c>
    </row>
    <row r="5" spans="1:12" x14ac:dyDescent="0.2">
      <c r="H5" s="4" t="s">
        <v>50</v>
      </c>
      <c r="I5" s="4" t="s">
        <v>66</v>
      </c>
      <c r="K5" t="s">
        <v>112</v>
      </c>
      <c r="L5" s="4">
        <f>DATA!C96</f>
        <v>150444</v>
      </c>
    </row>
    <row r="6" spans="1:12" x14ac:dyDescent="0.2">
      <c r="K6" t="s">
        <v>114</v>
      </c>
      <c r="L6">
        <f>DATA!F96</f>
        <v>177680.8039749396</v>
      </c>
    </row>
    <row r="7" spans="1:12" x14ac:dyDescent="0.2">
      <c r="H7" s="4"/>
      <c r="I7" s="4" t="s">
        <v>51</v>
      </c>
    </row>
    <row r="8" spans="1:12" x14ac:dyDescent="0.2">
      <c r="C8" s="2">
        <v>10</v>
      </c>
      <c r="H8" s="4" t="s">
        <v>52</v>
      </c>
      <c r="I8" s="4"/>
      <c r="K8" s="25" t="s">
        <v>65</v>
      </c>
      <c r="L8" s="25">
        <f>SUM(L4:L6)</f>
        <v>364796.80397493963</v>
      </c>
    </row>
    <row r="9" spans="1:12" x14ac:dyDescent="0.2">
      <c r="B9" t="s">
        <v>81</v>
      </c>
      <c r="C9">
        <v>12</v>
      </c>
      <c r="H9" s="4" t="s">
        <v>53</v>
      </c>
      <c r="I9" s="4"/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276609.02673365641</v>
      </c>
      <c r="K10" s="4"/>
      <c r="L10" s="4" t="s">
        <v>63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s="4" t="s">
        <v>62</v>
      </c>
      <c r="L11" s="4">
        <f>DATA!G18-SUM(DATA!G3:G13)</f>
        <v>181248.00000000006</v>
      </c>
    </row>
    <row r="12" spans="1:12" x14ac:dyDescent="0.2">
      <c r="A12" t="s">
        <v>69</v>
      </c>
      <c r="B12">
        <v>1920</v>
      </c>
      <c r="C12">
        <f>B12*$C$9</f>
        <v>23040</v>
      </c>
      <c r="H12" s="4" t="s">
        <v>55</v>
      </c>
      <c r="I12" s="4"/>
      <c r="K12" t="s">
        <v>112</v>
      </c>
      <c r="L12" s="4">
        <f>'10'!L12-L5</f>
        <v>300888</v>
      </c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t="s">
        <v>114</v>
      </c>
      <c r="L13">
        <f>'10'!L13-L6</f>
        <v>4975062.5112983091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DATA!C71</f>
        <v>1150</v>
      </c>
      <c r="C15">
        <f>B15*C9</f>
        <v>13800</v>
      </c>
      <c r="H15" s="4" t="s">
        <v>58</v>
      </c>
      <c r="I15" s="4"/>
      <c r="K15" s="25" t="s">
        <v>64</v>
      </c>
      <c r="L15" s="25">
        <f>SUM(L11:L13)</f>
        <v>5457198.5112983091</v>
      </c>
    </row>
    <row r="16" spans="1:12" x14ac:dyDescent="0.2">
      <c r="A16" t="s">
        <v>62</v>
      </c>
      <c r="B16">
        <f>C16/C9</f>
        <v>3056</v>
      </c>
      <c r="C16">
        <f>L4</f>
        <v>36672</v>
      </c>
    </row>
    <row r="17" spans="1:12" x14ac:dyDescent="0.2">
      <c r="A17" t="s">
        <v>112</v>
      </c>
      <c r="B17">
        <f>C17/12</f>
        <v>12537</v>
      </c>
      <c r="C17">
        <f>L5</f>
        <v>150444</v>
      </c>
      <c r="H17" s="4"/>
      <c r="I17" s="4" t="s">
        <v>59</v>
      </c>
    </row>
    <row r="18" spans="1:12" x14ac:dyDescent="0.2">
      <c r="A18" t="s">
        <v>114</v>
      </c>
      <c r="B18">
        <f>C18/C9</f>
        <v>14806.7336645783</v>
      </c>
      <c r="C18">
        <f>L6</f>
        <v>177680.8039749396</v>
      </c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1000</v>
      </c>
      <c r="C20">
        <f>B20*$C$9</f>
        <v>12000</v>
      </c>
      <c r="E20" s="20" t="s">
        <v>28</v>
      </c>
      <c r="F20" s="19">
        <f>I31-L21</f>
        <v>1748943.6721245898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(SUM(I4:I5)+SUM(I8:I9)+SUM(I12:I15)+SUM(I18))-G38</f>
        <v>195070.82501041534</v>
      </c>
      <c r="K21" s="23" t="s">
        <v>37</v>
      </c>
      <c r="L21" s="38">
        <f>L8+L15</f>
        <v>5821995.3152732486</v>
      </c>
    </row>
    <row r="22" spans="1:12" ht="15" thickTop="1" x14ac:dyDescent="0.2">
      <c r="A22" t="s">
        <v>83</v>
      </c>
      <c r="B22">
        <v>550</v>
      </c>
      <c r="C22">
        <f>B22*C9</f>
        <v>6600</v>
      </c>
    </row>
    <row r="23" spans="1:12" x14ac:dyDescent="0.2">
      <c r="A23" t="s">
        <v>117</v>
      </c>
      <c r="B23">
        <v>10000</v>
      </c>
      <c r="C23">
        <f>B23*C9</f>
        <v>120000</v>
      </c>
      <c r="I23" s="19"/>
    </row>
    <row r="24" spans="1:12" x14ac:dyDescent="0.2">
      <c r="F24" s="20"/>
    </row>
    <row r="25" spans="1:12" x14ac:dyDescent="0.2">
      <c r="A25" t="s">
        <v>133</v>
      </c>
      <c r="C25" s="8">
        <f>E101</f>
        <v>89601.060631172426</v>
      </c>
      <c r="F25" s="20"/>
    </row>
    <row r="26" spans="1:12" x14ac:dyDescent="0.2">
      <c r="B26" s="4" t="s">
        <v>84</v>
      </c>
      <c r="C26" s="41">
        <f>SUM(C10:C25)</f>
        <v>855875.86460611201</v>
      </c>
    </row>
    <row r="27" spans="1:12" x14ac:dyDescent="0.2">
      <c r="B27" s="4" t="s">
        <v>85</v>
      </c>
      <c r="C27" s="41">
        <f>C26/C9</f>
        <v>71322.988717176006</v>
      </c>
      <c r="G27" s="22">
        <v>0.35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195070.82501041534</v>
      </c>
      <c r="E29">
        <v>2</v>
      </c>
      <c r="F29" t="s">
        <v>137</v>
      </c>
      <c r="G29">
        <f>DATA!B160</f>
        <v>67260.621495539686</v>
      </c>
      <c r="I29">
        <f>DATA!C90</f>
        <v>1094000</v>
      </c>
    </row>
    <row r="30" spans="1:12" x14ac:dyDescent="0.2">
      <c r="A30" s="20" t="s">
        <v>25</v>
      </c>
      <c r="B30" s="20">
        <f>I21</f>
        <v>195070.82501041534</v>
      </c>
      <c r="C30" s="20"/>
      <c r="E30">
        <v>3</v>
      </c>
      <c r="F30" t="s">
        <v>137</v>
      </c>
      <c r="G30">
        <f>DATA!C160</f>
        <v>62097.61033261304</v>
      </c>
      <c r="I30">
        <f>DATA!F103</f>
        <v>5330424.1192481881</v>
      </c>
    </row>
    <row r="31" spans="1:12" x14ac:dyDescent="0.2">
      <c r="A31" s="20" t="s">
        <v>26</v>
      </c>
      <c r="B31" s="20">
        <f>L8</f>
        <v>364796.80397493963</v>
      </c>
      <c r="C31" s="20"/>
      <c r="E31">
        <v>4</v>
      </c>
      <c r="F31" t="s">
        <v>137</v>
      </c>
      <c r="G31">
        <f>DATA!D160</f>
        <v>115913.80362788893</v>
      </c>
      <c r="I31" s="19">
        <f>I21+G43+I29+I30</f>
        <v>7570938.9873978384</v>
      </c>
    </row>
    <row r="32" spans="1:12" x14ac:dyDescent="0.2">
      <c r="A32" s="20"/>
      <c r="B32" s="21">
        <f>B30/B31</f>
        <v>0.53473830605110262</v>
      </c>
      <c r="C32" s="20" t="s">
        <v>87</v>
      </c>
      <c r="E32">
        <v>5</v>
      </c>
      <c r="F32" t="s">
        <v>137</v>
      </c>
      <c r="G32">
        <f>DATA!E160</f>
        <v>116681.66640900147</v>
      </c>
    </row>
    <row r="33" spans="1:7" x14ac:dyDescent="0.2">
      <c r="A33" s="20"/>
      <c r="B33" s="20"/>
      <c r="C33" s="20"/>
      <c r="D33" s="20"/>
      <c r="E33" s="20">
        <v>6</v>
      </c>
      <c r="F33" t="s">
        <v>138</v>
      </c>
      <c r="G33">
        <f>DATA!F160</f>
        <v>144325.00861033407</v>
      </c>
    </row>
    <row r="34" spans="1:7" x14ac:dyDescent="0.2">
      <c r="A34" s="20"/>
      <c r="B34" s="20" t="s">
        <v>20</v>
      </c>
      <c r="C34" s="20"/>
      <c r="E34">
        <v>7</v>
      </c>
      <c r="F34" t="s">
        <v>136</v>
      </c>
      <c r="G34">
        <f>DATA!G160</f>
        <v>85359.859939649148</v>
      </c>
    </row>
    <row r="35" spans="1:7" x14ac:dyDescent="0.2">
      <c r="A35" s="20"/>
      <c r="B35" s="20" t="s">
        <v>23</v>
      </c>
      <c r="C35" s="20"/>
      <c r="E35">
        <v>8</v>
      </c>
      <c r="F35" t="s">
        <v>136</v>
      </c>
      <c r="G35">
        <f>DATA!H160</f>
        <v>108282.65457417208</v>
      </c>
    </row>
    <row r="36" spans="1:7" x14ac:dyDescent="0.2">
      <c r="A36" s="20" t="s">
        <v>25</v>
      </c>
      <c r="B36" s="20">
        <f>B30</f>
        <v>195070.82501041534</v>
      </c>
      <c r="C36" s="20"/>
      <c r="E36">
        <v>9</v>
      </c>
      <c r="F36" t="s">
        <v>136</v>
      </c>
      <c r="G36">
        <f>DATA!I160</f>
        <v>113087.38184597046</v>
      </c>
    </row>
    <row r="37" spans="1:7" x14ac:dyDescent="0.2">
      <c r="A37" s="20" t="s">
        <v>27</v>
      </c>
      <c r="B37" s="20">
        <f>C27</f>
        <v>71322.988717176006</v>
      </c>
      <c r="C37" s="20"/>
      <c r="E37">
        <v>10</v>
      </c>
      <c r="F37" t="s">
        <v>134</v>
      </c>
      <c r="G37">
        <f>DATA!J160</f>
        <v>45241.460474642765</v>
      </c>
    </row>
    <row r="38" spans="1:7" x14ac:dyDescent="0.2">
      <c r="A38" s="20"/>
      <c r="B38" s="21">
        <f>B36/B37</f>
        <v>2.735034362959027</v>
      </c>
      <c r="C38" s="20" t="s">
        <v>87</v>
      </c>
      <c r="E38">
        <v>11</v>
      </c>
      <c r="F38" t="s">
        <v>134</v>
      </c>
      <c r="G38">
        <f>DATA!K160</f>
        <v>93193.975829423449</v>
      </c>
    </row>
    <row r="39" spans="1:7" x14ac:dyDescent="0.2">
      <c r="E39">
        <v>12</v>
      </c>
    </row>
    <row r="40" spans="1:7" x14ac:dyDescent="0.2">
      <c r="A40" s="20"/>
      <c r="B40" s="20" t="s">
        <v>21</v>
      </c>
      <c r="E40">
        <v>13</v>
      </c>
    </row>
    <row r="41" spans="1:7" x14ac:dyDescent="0.2">
      <c r="A41" s="20"/>
      <c r="B41" s="20" t="s">
        <v>24</v>
      </c>
      <c r="E41">
        <v>14</v>
      </c>
    </row>
    <row r="42" spans="1:7" x14ac:dyDescent="0.2">
      <c r="A42" s="20" t="s">
        <v>25</v>
      </c>
      <c r="B42" s="20">
        <f>B30</f>
        <v>195070.82501041534</v>
      </c>
      <c r="E42">
        <v>15</v>
      </c>
    </row>
    <row r="43" spans="1:7" x14ac:dyDescent="0.2">
      <c r="A43" s="20" t="s">
        <v>28</v>
      </c>
      <c r="B43" s="20">
        <f>F20</f>
        <v>1748943.6721245898</v>
      </c>
      <c r="G43">
        <f>SUM(G29:G42)</f>
        <v>951444.04313923523</v>
      </c>
    </row>
    <row r="44" spans="1:7" x14ac:dyDescent="0.2">
      <c r="A44" s="20"/>
      <c r="B44" s="39">
        <f>B42/B43</f>
        <v>0.11153636799145528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5821995.3152732486</v>
      </c>
      <c r="C48" s="20"/>
    </row>
    <row r="49" spans="1:6" x14ac:dyDescent="0.2">
      <c r="A49" s="20" t="s">
        <v>40</v>
      </c>
      <c r="B49" s="20">
        <f>I31</f>
        <v>7570938.9873978384</v>
      </c>
      <c r="C49" s="20"/>
    </row>
    <row r="50" spans="1:6" x14ac:dyDescent="0.2">
      <c r="A50" s="20"/>
      <c r="B50" s="32">
        <f>B48/B49</f>
        <v>0.76899250211423131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1748943.6721245898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7570938.9873978384</v>
      </c>
      <c r="C55" s="20"/>
    </row>
    <row r="56" spans="1:6" x14ac:dyDescent="0.2">
      <c r="A56" s="20"/>
      <c r="B56" s="32">
        <f>B54/B55</f>
        <v>0.23100749788576869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L8</f>
        <v>364796.80397493963</v>
      </c>
    </row>
    <row r="61" spans="1:6" x14ac:dyDescent="0.2">
      <c r="A61" s="20" t="s">
        <v>41</v>
      </c>
      <c r="B61" s="20">
        <f>E2</f>
        <v>1132484.8913397684</v>
      </c>
      <c r="F61" s="20"/>
    </row>
    <row r="62" spans="1:6" x14ac:dyDescent="0.2">
      <c r="A62" s="20"/>
      <c r="B62" s="33">
        <f>B60/B61</f>
        <v>0.32212068060649579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30399.733664578303</v>
      </c>
    </row>
    <row r="67" spans="1:6" x14ac:dyDescent="0.2">
      <c r="A67" s="20" t="s">
        <v>42</v>
      </c>
      <c r="B67" s="20">
        <f>B61/12</f>
        <v>94373.740944980702</v>
      </c>
    </row>
    <row r="68" spans="1:6" x14ac:dyDescent="0.2">
      <c r="A68" s="20"/>
      <c r="B68" s="33">
        <f>B66/B67</f>
        <v>0.32212068060649579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195070.82501041534</v>
      </c>
    </row>
    <row r="73" spans="1:6" x14ac:dyDescent="0.2">
      <c r="A73" s="20" t="s">
        <v>15</v>
      </c>
      <c r="B73" s="20">
        <f>E2</f>
        <v>1132484.8913397684</v>
      </c>
    </row>
    <row r="74" spans="1:6" x14ac:dyDescent="0.2">
      <c r="A74" s="20"/>
      <c r="B74" s="32">
        <f>B72/B73</f>
        <v>0.17225026709154581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G43</f>
        <v>951444.04313923523</v>
      </c>
      <c r="C78" s="20"/>
    </row>
    <row r="79" spans="1:6" x14ac:dyDescent="0.2">
      <c r="A79" s="20" t="s">
        <v>28</v>
      </c>
      <c r="B79" s="20">
        <f>B43</f>
        <v>1748943.6721245898</v>
      </c>
      <c r="C79" s="20"/>
    </row>
    <row r="80" spans="1:6" x14ac:dyDescent="0.2">
      <c r="A80" s="20"/>
      <c r="B80" s="32">
        <f>B78/B79</f>
        <v>0.54401068387950746</v>
      </c>
      <c r="C80" s="20"/>
    </row>
    <row r="90" spans="1:5" ht="15" thickBot="1" x14ac:dyDescent="0.25">
      <c r="A90" s="43">
        <f>A91-B108</f>
        <v>873005.30315586214</v>
      </c>
    </row>
    <row r="91" spans="1:5" ht="21" thickTop="1" thickBot="1" x14ac:dyDescent="0.25">
      <c r="A91" s="44">
        <f>E2</f>
        <v>1132484.8913397684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200000</v>
      </c>
      <c r="D95" s="46">
        <v>0.1</v>
      </c>
      <c r="E95" s="47">
        <f t="shared" si="0"/>
        <v>20000</v>
      </c>
    </row>
    <row r="96" spans="1:5" x14ac:dyDescent="0.2">
      <c r="B96" s="45" t="s">
        <v>128</v>
      </c>
      <c r="C96" s="7">
        <f>IF((A90-C93-C94-C95)&gt;=250000,250000,(A90-C93-C94-C95))</f>
        <v>250000</v>
      </c>
      <c r="D96" s="46">
        <v>0.15</v>
      </c>
      <c r="E96" s="47">
        <f t="shared" si="0"/>
        <v>37500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123005.30315586214</v>
      </c>
      <c r="D97" s="46">
        <v>0.2</v>
      </c>
      <c r="E97" s="47">
        <f t="shared" si="0"/>
        <v>24601.06063117243</v>
      </c>
    </row>
    <row r="98" spans="1:5" x14ac:dyDescent="0.2">
      <c r="B98" s="45" t="s">
        <v>130</v>
      </c>
      <c r="C98" s="7">
        <f>IF((A90-C93-C94-C95-C96-C97)&gt;=1000000,1000000,(A90-C93-C94-C95-C96-C97))</f>
        <v>0</v>
      </c>
      <c r="D98" s="46">
        <v>0.25</v>
      </c>
      <c r="E98" s="47">
        <f t="shared" si="0"/>
        <v>0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89601.060631172426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A107" s="50" t="s">
        <v>134</v>
      </c>
      <c r="B107" s="4">
        <f>DATA!E142</f>
        <v>90479.588183906264</v>
      </c>
    </row>
    <row r="108" spans="1:5" x14ac:dyDescent="0.2">
      <c r="B108" s="42">
        <f>SUM(B104:B107)</f>
        <v>259479.58818390628</v>
      </c>
    </row>
  </sheetData>
  <mergeCells count="1">
    <mergeCell ref="A103:B103"/>
  </mergeCells>
  <conditionalFormatting sqref="B32">
    <cfRule type="cellIs" dxfId="94" priority="18" operator="greaterThan">
      <formula>0.9999999999</formula>
    </cfRule>
    <cfRule type="cellIs" dxfId="93" priority="19" operator="lessThan">
      <formula>1</formula>
    </cfRule>
  </conditionalFormatting>
  <conditionalFormatting sqref="B38">
    <cfRule type="cellIs" dxfId="92" priority="16" operator="greaterThan">
      <formula>5.9999</formula>
    </cfRule>
    <cfRule type="cellIs" dxfId="91" priority="17" operator="lessThan">
      <formula>3</formula>
    </cfRule>
  </conditionalFormatting>
  <conditionalFormatting sqref="B44">
    <cfRule type="cellIs" dxfId="90" priority="13" operator="greaterThan">
      <formula>0.29</formula>
    </cfRule>
    <cfRule type="cellIs" dxfId="89" priority="14" operator="lessThan">
      <formula>0.05</formula>
    </cfRule>
    <cfRule type="cellIs" dxfId="88" priority="15" operator="greaterThan">
      <formula>0.049</formula>
    </cfRule>
  </conditionalFormatting>
  <conditionalFormatting sqref="B50">
    <cfRule type="cellIs" dxfId="87" priority="11" operator="greaterThan">
      <formula>0.49</formula>
    </cfRule>
    <cfRule type="cellIs" dxfId="86" priority="12" operator="lessThan">
      <formula>0.41</formula>
    </cfRule>
  </conditionalFormatting>
  <conditionalFormatting sqref="B56">
    <cfRule type="cellIs" dxfId="85" priority="9" operator="lessThan">
      <formula>0.41</formula>
    </cfRule>
    <cfRule type="cellIs" dxfId="84" priority="10" operator="greaterThan">
      <formula>0.59</formula>
    </cfRule>
  </conditionalFormatting>
  <conditionalFormatting sqref="B62">
    <cfRule type="cellIs" dxfId="83" priority="7" operator="greaterThan">
      <formula>0.39</formula>
    </cfRule>
    <cfRule type="cellIs" dxfId="82" priority="8" operator="lessThan">
      <formula>0.281</formula>
    </cfRule>
  </conditionalFormatting>
  <conditionalFormatting sqref="B68">
    <cfRule type="cellIs" dxfId="81" priority="5" operator="greaterThan">
      <formula>0.39</formula>
    </cfRule>
    <cfRule type="cellIs" dxfId="80" priority="6" operator="lessThan">
      <formula>0.281</formula>
    </cfRule>
  </conditionalFormatting>
  <conditionalFormatting sqref="B74">
    <cfRule type="cellIs" dxfId="79" priority="3" operator="lessThan">
      <formula>0.1</formula>
    </cfRule>
    <cfRule type="cellIs" dxfId="78" priority="4" operator="greaterThan">
      <formula>0.19</formula>
    </cfRule>
  </conditionalFormatting>
  <conditionalFormatting sqref="B80">
    <cfRule type="cellIs" dxfId="77" priority="1" operator="lessThan">
      <formula>0.3</formula>
    </cfRule>
    <cfRule type="cellIs" dxfId="76" priority="2" operator="greaterThan">
      <formula>0.49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97015-2C47-4CA5-9D7B-1FC79699419D}">
  <dimension ref="A1:L108"/>
  <sheetViews>
    <sheetView topLeftCell="E5" workbookViewId="0">
      <selection activeCell="B107" sqref="B107"/>
    </sheetView>
  </sheetViews>
  <sheetFormatPr defaultRowHeight="14.25" x14ac:dyDescent="0.2"/>
  <cols>
    <col min="1" max="1" width="28.75" bestFit="1" customWidth="1"/>
    <col min="2" max="2" width="16.5" bestFit="1" customWidth="1"/>
    <col min="3" max="3" width="13.625" bestFit="1" customWidth="1"/>
    <col min="4" max="4" width="19" bestFit="1" customWidth="1"/>
    <col min="5" max="5" width="19.75" bestFit="1" customWidth="1"/>
    <col min="6" max="6" width="18.375" bestFit="1" customWidth="1"/>
    <col min="8" max="8" width="60.25" bestFit="1" customWidth="1"/>
    <col min="9" max="9" width="46.5" bestFit="1" customWidth="1"/>
    <col min="11" max="11" width="23.37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DATA!D42</f>
        <v>12</v>
      </c>
      <c r="B2">
        <f>DATA!E42</f>
        <v>53020.520101605733</v>
      </c>
      <c r="C2">
        <f>DATA!F42</f>
        <v>636246.24121926876</v>
      </c>
      <c r="D2">
        <f>DATA!G42</f>
        <v>737150.52624998416</v>
      </c>
      <c r="E2">
        <f>DATA!H42</f>
        <v>1373396.7674692529</v>
      </c>
      <c r="F2">
        <f>DATA!I42</f>
        <v>114449.73062243774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'11'!I21+F10</f>
        <v>610352.03380011534</v>
      </c>
      <c r="K4" s="4" t="s">
        <v>62</v>
      </c>
      <c r="L4" s="4">
        <f>DATA!G14</f>
        <v>40166.400000000001</v>
      </c>
    </row>
    <row r="5" spans="1:12" x14ac:dyDescent="0.2">
      <c r="H5" s="4" t="s">
        <v>50</v>
      </c>
      <c r="I5" s="4" t="s">
        <v>66</v>
      </c>
      <c r="K5" t="s">
        <v>112</v>
      </c>
      <c r="L5" s="4">
        <f>DATA!C96</f>
        <v>150444</v>
      </c>
    </row>
    <row r="6" spans="1:12" x14ac:dyDescent="0.2">
      <c r="K6" t="s">
        <v>114</v>
      </c>
      <c r="L6">
        <f>DATA!F96</f>
        <v>177680.8039749396</v>
      </c>
    </row>
    <row r="7" spans="1:12" x14ac:dyDescent="0.2">
      <c r="H7" s="4"/>
      <c r="I7" s="4" t="s">
        <v>51</v>
      </c>
    </row>
    <row r="8" spans="1:12" x14ac:dyDescent="0.2">
      <c r="C8" s="2">
        <v>10</v>
      </c>
      <c r="H8" s="4" t="s">
        <v>52</v>
      </c>
      <c r="I8" s="4"/>
      <c r="K8" s="25" t="s">
        <v>65</v>
      </c>
      <c r="L8" s="25">
        <f>SUM(L4:L6)</f>
        <v>368291.20397493959</v>
      </c>
    </row>
    <row r="9" spans="1:12" x14ac:dyDescent="0.2">
      <c r="B9" t="s">
        <v>81</v>
      </c>
      <c r="C9">
        <v>12</v>
      </c>
      <c r="H9" s="4" t="s">
        <v>53</v>
      </c>
      <c r="I9" s="4"/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415281.20878970006</v>
      </c>
      <c r="K10" s="4"/>
      <c r="L10" s="4" t="s">
        <v>63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s="4" t="s">
        <v>62</v>
      </c>
      <c r="L11" s="4">
        <f>DATA!G18-SUM(DATA!G3:G14)</f>
        <v>141081.60000000003</v>
      </c>
    </row>
    <row r="12" spans="1:12" x14ac:dyDescent="0.2">
      <c r="A12" t="s">
        <v>69</v>
      </c>
      <c r="B12">
        <v>1920</v>
      </c>
      <c r="C12">
        <f>B12*$C$9</f>
        <v>23040</v>
      </c>
      <c r="H12" s="4" t="s">
        <v>55</v>
      </c>
      <c r="I12" s="4"/>
      <c r="K12" t="s">
        <v>112</v>
      </c>
      <c r="L12" s="4">
        <f>'11'!L12-L5</f>
        <v>150444</v>
      </c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t="s">
        <v>114</v>
      </c>
      <c r="L13">
        <f>'11'!L13-L6</f>
        <v>4797381.7073233696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DATA!C71</f>
        <v>1150</v>
      </c>
      <c r="C15">
        <f>B15*C9</f>
        <v>13800</v>
      </c>
      <c r="H15" s="4" t="s">
        <v>58</v>
      </c>
      <c r="I15" s="4"/>
      <c r="K15" s="25" t="s">
        <v>64</v>
      </c>
      <c r="L15" s="25">
        <f>SUM(L11:L13)</f>
        <v>5088907.3073233692</v>
      </c>
    </row>
    <row r="16" spans="1:12" x14ac:dyDescent="0.2">
      <c r="A16" t="s">
        <v>62</v>
      </c>
      <c r="B16">
        <f>C16/C9</f>
        <v>3347.2000000000003</v>
      </c>
      <c r="C16">
        <f>L4</f>
        <v>40166.400000000001</v>
      </c>
    </row>
    <row r="17" spans="1:12" x14ac:dyDescent="0.2">
      <c r="A17" t="s">
        <v>112</v>
      </c>
      <c r="B17">
        <f>C17/12</f>
        <v>12537</v>
      </c>
      <c r="C17">
        <f>L5</f>
        <v>150444</v>
      </c>
      <c r="H17" s="4"/>
      <c r="I17" s="4" t="s">
        <v>59</v>
      </c>
    </row>
    <row r="18" spans="1:12" x14ac:dyDescent="0.2">
      <c r="A18" t="s">
        <v>114</v>
      </c>
      <c r="B18">
        <f>C18/C9</f>
        <v>14806.7336645783</v>
      </c>
      <c r="C18">
        <f>L6</f>
        <v>177680.8039749396</v>
      </c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1000</v>
      </c>
      <c r="C20">
        <f>B20*$C$9</f>
        <v>12000</v>
      </c>
      <c r="E20" s="20" t="s">
        <v>28</v>
      </c>
      <c r="F20" s="19">
        <f>I31-L21</f>
        <v>2579900.6763167996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(SUM(I4:I5)+SUM(I8:I9)+SUM(I12:I15)+SUM(I18))-G39</f>
        <v>454810.34468979132</v>
      </c>
      <c r="K21" s="23" t="s">
        <v>37</v>
      </c>
      <c r="L21" s="38">
        <f>L8+L15</f>
        <v>5457198.5112983091</v>
      </c>
    </row>
    <row r="22" spans="1:12" ht="15" thickTop="1" x14ac:dyDescent="0.2">
      <c r="A22" t="s">
        <v>83</v>
      </c>
      <c r="B22">
        <v>550</v>
      </c>
      <c r="C22">
        <f>B22*C9</f>
        <v>6600</v>
      </c>
    </row>
    <row r="23" spans="1:12" x14ac:dyDescent="0.2">
      <c r="A23" t="s">
        <v>117</v>
      </c>
      <c r="B23">
        <v>15000</v>
      </c>
      <c r="C23">
        <f>B23*C9</f>
        <v>180000</v>
      </c>
      <c r="I23" s="19"/>
    </row>
    <row r="24" spans="1:12" x14ac:dyDescent="0.2">
      <c r="F24" s="20"/>
    </row>
    <row r="25" spans="1:12" x14ac:dyDescent="0.2">
      <c r="A25" t="s">
        <v>133</v>
      </c>
      <c r="C25" s="8">
        <f>E101</f>
        <v>128346.35470461322</v>
      </c>
      <c r="F25" s="20"/>
    </row>
    <row r="26" spans="1:12" x14ac:dyDescent="0.2">
      <c r="B26" s="4" t="s">
        <v>84</v>
      </c>
      <c r="C26" s="41">
        <f>SUM(C10:C25)</f>
        <v>958115.55867955287</v>
      </c>
    </row>
    <row r="27" spans="1:12" x14ac:dyDescent="0.2">
      <c r="B27" s="4" t="s">
        <v>85</v>
      </c>
      <c r="C27" s="41">
        <f>C26/C9</f>
        <v>79842.963223296072</v>
      </c>
      <c r="G27" s="22">
        <v>0.4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454810.34468979132</v>
      </c>
      <c r="E29">
        <v>2</v>
      </c>
      <c r="F29" t="s">
        <v>137</v>
      </c>
      <c r="G29">
        <f>DATA!B161</f>
        <v>69614.743247883584</v>
      </c>
      <c r="I29">
        <f>DATA!C90</f>
        <v>1094000</v>
      </c>
    </row>
    <row r="30" spans="1:12" x14ac:dyDescent="0.2">
      <c r="A30" s="20" t="s">
        <v>25</v>
      </c>
      <c r="B30" s="20">
        <f>I21</f>
        <v>454810.34468979132</v>
      </c>
      <c r="C30" s="20"/>
      <c r="E30">
        <v>3</v>
      </c>
      <c r="F30" t="s">
        <v>137</v>
      </c>
      <c r="G30">
        <f>DATA!C161</f>
        <v>64271.026694254491</v>
      </c>
      <c r="I30">
        <f>DATA!F103</f>
        <v>5330424.1192481881</v>
      </c>
    </row>
    <row r="31" spans="1:12" x14ac:dyDescent="0.2">
      <c r="A31" s="20" t="s">
        <v>26</v>
      </c>
      <c r="B31" s="20">
        <f>L8</f>
        <v>368291.20397493959</v>
      </c>
      <c r="C31" s="20"/>
      <c r="E31">
        <v>4</v>
      </c>
      <c r="F31" t="s">
        <v>137</v>
      </c>
      <c r="G31">
        <f>DATA!D161</f>
        <v>119970.78675486502</v>
      </c>
      <c r="I31" s="19">
        <f>I21+G43+I29+I30</f>
        <v>8037099.1876151087</v>
      </c>
    </row>
    <row r="32" spans="1:12" x14ac:dyDescent="0.2">
      <c r="A32" s="20"/>
      <c r="B32" s="21">
        <f>B30/B31</f>
        <v>1.2349204645157339</v>
      </c>
      <c r="C32" s="20" t="s">
        <v>87</v>
      </c>
      <c r="E32">
        <v>5</v>
      </c>
      <c r="F32" t="s">
        <v>137</v>
      </c>
      <c r="G32">
        <f>DATA!E161</f>
        <v>120765.52473331649</v>
      </c>
    </row>
    <row r="33" spans="1:7" x14ac:dyDescent="0.2">
      <c r="A33" s="20"/>
      <c r="B33" s="20"/>
      <c r="C33" s="20"/>
      <c r="D33" s="20"/>
      <c r="E33" s="20">
        <v>6</v>
      </c>
      <c r="F33" t="s">
        <v>138</v>
      </c>
      <c r="G33">
        <f>DATA!F161</f>
        <v>149243.21722932538</v>
      </c>
    </row>
    <row r="34" spans="1:7" x14ac:dyDescent="0.2">
      <c r="A34" s="20"/>
      <c r="B34" s="20" t="s">
        <v>20</v>
      </c>
      <c r="C34" s="20"/>
      <c r="E34">
        <v>7</v>
      </c>
      <c r="F34" t="s">
        <v>136</v>
      </c>
      <c r="G34">
        <f>DATA!G161</f>
        <v>93469.046633915816</v>
      </c>
    </row>
    <row r="35" spans="1:7" x14ac:dyDescent="0.2">
      <c r="A35" s="20"/>
      <c r="B35" s="20" t="s">
        <v>23</v>
      </c>
      <c r="C35" s="20"/>
      <c r="E35">
        <v>8</v>
      </c>
      <c r="F35" t="s">
        <v>136</v>
      </c>
      <c r="G35">
        <f>DATA!H161</f>
        <v>118569.50675871842</v>
      </c>
    </row>
    <row r="36" spans="1:7" x14ac:dyDescent="0.2">
      <c r="A36" s="20" t="s">
        <v>25</v>
      </c>
      <c r="B36" s="20">
        <f>B30</f>
        <v>454810.34468979132</v>
      </c>
      <c r="C36" s="20"/>
      <c r="E36">
        <v>9</v>
      </c>
      <c r="F36" t="s">
        <v>136</v>
      </c>
      <c r="G36">
        <f>DATA!I161</f>
        <v>123830.68312133767</v>
      </c>
    </row>
    <row r="37" spans="1:7" x14ac:dyDescent="0.2">
      <c r="A37" s="20" t="s">
        <v>27</v>
      </c>
      <c r="B37" s="20">
        <f>C27</f>
        <v>79842.963223296072</v>
      </c>
      <c r="C37" s="20"/>
      <c r="E37">
        <v>10</v>
      </c>
      <c r="F37" t="s">
        <v>134</v>
      </c>
      <c r="G37">
        <f>DATA!J161</f>
        <v>46598.704288882051</v>
      </c>
    </row>
    <row r="38" spans="1:7" x14ac:dyDescent="0.2">
      <c r="A38" s="20"/>
      <c r="B38" s="21">
        <f>B36/B37</f>
        <v>5.6963109374814591</v>
      </c>
      <c r="C38" s="20" t="s">
        <v>87</v>
      </c>
      <c r="E38">
        <v>11</v>
      </c>
      <c r="F38" t="s">
        <v>134</v>
      </c>
      <c r="G38">
        <f>DATA!K161</f>
        <v>95989.795104306148</v>
      </c>
    </row>
    <row r="39" spans="1:7" x14ac:dyDescent="0.2">
      <c r="E39">
        <v>12</v>
      </c>
      <c r="F39" t="s">
        <v>134</v>
      </c>
      <c r="G39">
        <f>DATA!L161</f>
        <v>155541.68911032405</v>
      </c>
    </row>
    <row r="40" spans="1:7" x14ac:dyDescent="0.2">
      <c r="A40" s="20"/>
      <c r="B40" s="20" t="s">
        <v>21</v>
      </c>
      <c r="E40">
        <v>13</v>
      </c>
    </row>
    <row r="41" spans="1:7" x14ac:dyDescent="0.2">
      <c r="A41" s="20"/>
      <c r="B41" s="20" t="s">
        <v>24</v>
      </c>
      <c r="E41">
        <v>14</v>
      </c>
    </row>
    <row r="42" spans="1:7" x14ac:dyDescent="0.2">
      <c r="A42" s="20" t="s">
        <v>25</v>
      </c>
      <c r="B42" s="20">
        <f>B30</f>
        <v>454810.34468979132</v>
      </c>
      <c r="E42">
        <v>15</v>
      </c>
    </row>
    <row r="43" spans="1:7" x14ac:dyDescent="0.2">
      <c r="A43" s="20" t="s">
        <v>28</v>
      </c>
      <c r="B43" s="20">
        <f>F20</f>
        <v>2579900.6763167996</v>
      </c>
      <c r="G43">
        <f>SUM(G29:G42)</f>
        <v>1157864.7236771293</v>
      </c>
    </row>
    <row r="44" spans="1:7" x14ac:dyDescent="0.2">
      <c r="A44" s="20"/>
      <c r="B44" s="39">
        <f>B42/B43</f>
        <v>0.17628986606534877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5457198.5112983091</v>
      </c>
      <c r="C48" s="20"/>
    </row>
    <row r="49" spans="1:6" x14ac:dyDescent="0.2">
      <c r="A49" s="20" t="s">
        <v>40</v>
      </c>
      <c r="B49" s="20">
        <f>I31</f>
        <v>8037099.1876151087</v>
      </c>
      <c r="C49" s="20"/>
    </row>
    <row r="50" spans="1:6" x14ac:dyDescent="0.2">
      <c r="A50" s="20"/>
      <c r="B50" s="32">
        <f>B48/B49</f>
        <v>0.67900101565346649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2579900.6763167996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8037099.1876151087</v>
      </c>
      <c r="C55" s="20"/>
    </row>
    <row r="56" spans="1:6" x14ac:dyDescent="0.2">
      <c r="A56" s="20"/>
      <c r="B56" s="32">
        <f>B54/B55</f>
        <v>0.32099898434653351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L8</f>
        <v>368291.20397493959</v>
      </c>
    </row>
    <row r="61" spans="1:6" x14ac:dyDescent="0.2">
      <c r="A61" s="20" t="s">
        <v>41</v>
      </c>
      <c r="B61" s="20">
        <f>E2</f>
        <v>1373396.7674692529</v>
      </c>
      <c r="F61" s="20"/>
    </row>
    <row r="62" spans="1:6" x14ac:dyDescent="0.2">
      <c r="A62" s="20"/>
      <c r="B62" s="33">
        <f>B60/B61</f>
        <v>0.26816082045510187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30690.933664578301</v>
      </c>
    </row>
    <row r="67" spans="1:6" x14ac:dyDescent="0.2">
      <c r="A67" s="20" t="s">
        <v>42</v>
      </c>
      <c r="B67" s="20">
        <f>B61/12</f>
        <v>114449.73062243774</v>
      </c>
    </row>
    <row r="68" spans="1:6" x14ac:dyDescent="0.2">
      <c r="A68" s="20"/>
      <c r="B68" s="33">
        <f>B66/B67</f>
        <v>0.26816082045510187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454810.34468979132</v>
      </c>
    </row>
    <row r="73" spans="1:6" x14ac:dyDescent="0.2">
      <c r="A73" s="20" t="s">
        <v>15</v>
      </c>
      <c r="B73" s="20">
        <f>E2</f>
        <v>1373396.7674692529</v>
      </c>
    </row>
    <row r="74" spans="1:6" x14ac:dyDescent="0.2">
      <c r="A74" s="20"/>
      <c r="B74" s="32">
        <f>B72/B73</f>
        <v>0.33115728496133467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G43</f>
        <v>1157864.7236771293</v>
      </c>
      <c r="C78" s="20"/>
    </row>
    <row r="79" spans="1:6" x14ac:dyDescent="0.2">
      <c r="A79" s="20" t="s">
        <v>28</v>
      </c>
      <c r="B79" s="20">
        <f>B43</f>
        <v>2579900.6763167996</v>
      </c>
      <c r="C79" s="20"/>
    </row>
    <row r="80" spans="1:6" x14ac:dyDescent="0.2">
      <c r="A80" s="20"/>
      <c r="B80" s="32">
        <f>B78/B79</f>
        <v>0.44880205439930237</v>
      </c>
      <c r="C80" s="20"/>
    </row>
    <row r="90" spans="1:5" ht="15" thickBot="1" x14ac:dyDescent="0.25">
      <c r="A90" s="43">
        <f>A91-B108</f>
        <v>1053385.4188184529</v>
      </c>
    </row>
    <row r="91" spans="1:5" ht="21" thickTop="1" thickBot="1" x14ac:dyDescent="0.25">
      <c r="A91" s="44">
        <f>E2</f>
        <v>1373396.7674692529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200000</v>
      </c>
      <c r="D95" s="46">
        <v>0.1</v>
      </c>
      <c r="E95" s="47">
        <f t="shared" si="0"/>
        <v>20000</v>
      </c>
    </row>
    <row r="96" spans="1:5" x14ac:dyDescent="0.2">
      <c r="B96" s="45" t="s">
        <v>128</v>
      </c>
      <c r="C96" s="7">
        <f>IF((A90-C93-C94-C95)&gt;=250000,250000,(A90-C93-C94-C95))</f>
        <v>250000</v>
      </c>
      <c r="D96" s="46">
        <v>0.15</v>
      </c>
      <c r="E96" s="47">
        <f t="shared" si="0"/>
        <v>37500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250000</v>
      </c>
      <c r="D97" s="46">
        <v>0.2</v>
      </c>
      <c r="E97" s="47">
        <f t="shared" si="0"/>
        <v>50000</v>
      </c>
    </row>
    <row r="98" spans="1:5" x14ac:dyDescent="0.2">
      <c r="B98" s="45" t="s">
        <v>130</v>
      </c>
      <c r="C98" s="7">
        <f>IF((A90-C93-C94-C95-C96-C97)&gt;=1000000,1000000,(A90-C93-C94-C95-C96-C97))</f>
        <v>53385.418818452861</v>
      </c>
      <c r="D98" s="46">
        <v>0.25</v>
      </c>
      <c r="E98" s="47">
        <f t="shared" si="0"/>
        <v>13346.354704613215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128346.35470461322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A107" s="50" t="s">
        <v>134</v>
      </c>
      <c r="B107" s="4">
        <f>DATA!E143</f>
        <v>151011.34865080004</v>
      </c>
    </row>
    <row r="108" spans="1:5" x14ac:dyDescent="0.2">
      <c r="B108" s="42">
        <f>SUM(B104:B107)</f>
        <v>320011.34865080006</v>
      </c>
    </row>
  </sheetData>
  <mergeCells count="1">
    <mergeCell ref="A103:B103"/>
  </mergeCells>
  <conditionalFormatting sqref="B32">
    <cfRule type="cellIs" dxfId="75" priority="18" operator="greaterThan">
      <formula>0.9999999999</formula>
    </cfRule>
    <cfRule type="cellIs" dxfId="74" priority="19" operator="lessThan">
      <formula>1</formula>
    </cfRule>
  </conditionalFormatting>
  <conditionalFormatting sqref="B38">
    <cfRule type="cellIs" dxfId="73" priority="16" operator="greaterThan">
      <formula>5.9999</formula>
    </cfRule>
    <cfRule type="cellIs" dxfId="72" priority="17" operator="lessThan">
      <formula>3</formula>
    </cfRule>
  </conditionalFormatting>
  <conditionalFormatting sqref="B44">
    <cfRule type="cellIs" dxfId="71" priority="13" operator="greaterThan">
      <formula>0.29</formula>
    </cfRule>
    <cfRule type="cellIs" dxfId="70" priority="14" operator="lessThan">
      <formula>0.05</formula>
    </cfRule>
    <cfRule type="cellIs" dxfId="69" priority="15" operator="greaterThan">
      <formula>0.049</formula>
    </cfRule>
  </conditionalFormatting>
  <conditionalFormatting sqref="B50">
    <cfRule type="cellIs" dxfId="68" priority="11" operator="greaterThan">
      <formula>0.49</formula>
    </cfRule>
    <cfRule type="cellIs" dxfId="67" priority="12" operator="lessThan">
      <formula>0.41</formula>
    </cfRule>
  </conditionalFormatting>
  <conditionalFormatting sqref="B56">
    <cfRule type="cellIs" dxfId="66" priority="9" operator="lessThan">
      <formula>0.41</formula>
    </cfRule>
    <cfRule type="cellIs" dxfId="65" priority="10" operator="greaterThan">
      <formula>0.59</formula>
    </cfRule>
  </conditionalFormatting>
  <conditionalFormatting sqref="B62">
    <cfRule type="cellIs" dxfId="64" priority="7" operator="greaterThan">
      <formula>0.39</formula>
    </cfRule>
    <cfRule type="cellIs" dxfId="63" priority="8" operator="lessThan">
      <formula>0.281</formula>
    </cfRule>
  </conditionalFormatting>
  <conditionalFormatting sqref="B68">
    <cfRule type="cellIs" dxfId="62" priority="5" operator="greaterThan">
      <formula>0.39</formula>
    </cfRule>
    <cfRule type="cellIs" dxfId="61" priority="6" operator="lessThan">
      <formula>0.281</formula>
    </cfRule>
  </conditionalFormatting>
  <conditionalFormatting sqref="B74">
    <cfRule type="cellIs" dxfId="60" priority="3" operator="lessThan">
      <formula>0.1</formula>
    </cfRule>
    <cfRule type="cellIs" dxfId="59" priority="4" operator="greaterThan">
      <formula>0.19</formula>
    </cfRule>
  </conditionalFormatting>
  <conditionalFormatting sqref="B80">
    <cfRule type="cellIs" dxfId="58" priority="1" operator="lessThan">
      <formula>0.3</formula>
    </cfRule>
    <cfRule type="cellIs" dxfId="57" priority="2" operator="greaterThan">
      <formula>0.49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F0CD-B027-43B5-A2FD-58400F34062F}">
  <dimension ref="A1:L109"/>
  <sheetViews>
    <sheetView topLeftCell="E15" workbookViewId="0">
      <selection activeCell="B109" sqref="B109"/>
    </sheetView>
  </sheetViews>
  <sheetFormatPr defaultRowHeight="14.25" x14ac:dyDescent="0.2"/>
  <cols>
    <col min="1" max="1" width="28.75" bestFit="1" customWidth="1"/>
    <col min="2" max="2" width="16.5" bestFit="1" customWidth="1"/>
    <col min="3" max="3" width="13.625" bestFit="1" customWidth="1"/>
    <col min="4" max="4" width="19" bestFit="1" customWidth="1"/>
    <col min="5" max="5" width="19.75" bestFit="1" customWidth="1"/>
    <col min="6" max="6" width="18.375" bestFit="1" customWidth="1"/>
    <col min="8" max="8" width="60.25" bestFit="1" customWidth="1"/>
    <col min="9" max="9" width="46.5" bestFit="1" customWidth="1"/>
    <col min="11" max="11" width="23.37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DATA!D43</f>
        <v>13</v>
      </c>
      <c r="B2">
        <f>DATA!E43</f>
        <v>55671.546106686023</v>
      </c>
      <c r="C2">
        <f>DATA!F43</f>
        <v>668058.55328023224</v>
      </c>
      <c r="D2">
        <f>DATA!G43</f>
        <v>1032010.7367499778</v>
      </c>
      <c r="E2">
        <f>DATA!H43</f>
        <v>1700069.29003021</v>
      </c>
      <c r="F2">
        <f>DATA!I43</f>
        <v>141672.44083585084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'12'!I21+F10</f>
        <v>1043394.7845922811</v>
      </c>
      <c r="K4" s="4" t="s">
        <v>62</v>
      </c>
      <c r="L4" s="4">
        <f>DATA!G15</f>
        <v>43622.400000000001</v>
      </c>
    </row>
    <row r="5" spans="1:12" x14ac:dyDescent="0.2">
      <c r="H5" s="4" t="s">
        <v>50</v>
      </c>
      <c r="I5" s="4" t="s">
        <v>66</v>
      </c>
      <c r="K5" t="s">
        <v>112</v>
      </c>
      <c r="L5" s="4">
        <f>DATA!C96</f>
        <v>150444</v>
      </c>
    </row>
    <row r="6" spans="1:12" x14ac:dyDescent="0.2">
      <c r="K6" t="s">
        <v>114</v>
      </c>
      <c r="L6">
        <f>DATA!F96</f>
        <v>177680.8039749396</v>
      </c>
    </row>
    <row r="7" spans="1:12" x14ac:dyDescent="0.2">
      <c r="H7" s="4"/>
      <c r="I7" s="4" t="s">
        <v>51</v>
      </c>
    </row>
    <row r="8" spans="1:12" x14ac:dyDescent="0.2">
      <c r="C8" s="2">
        <v>10</v>
      </c>
      <c r="H8" s="4" t="s">
        <v>52</v>
      </c>
      <c r="I8" s="4"/>
      <c r="K8" s="25" t="s">
        <v>65</v>
      </c>
      <c r="L8" s="25">
        <f>SUM(L4:L6)</f>
        <v>371747.20397493959</v>
      </c>
    </row>
    <row r="9" spans="1:12" x14ac:dyDescent="0.2">
      <c r="B9" t="s">
        <v>81</v>
      </c>
      <c r="C9">
        <v>12</v>
      </c>
      <c r="H9" s="4" t="s">
        <v>53</v>
      </c>
      <c r="I9" s="4"/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588584.43990248977</v>
      </c>
      <c r="K10" s="4"/>
      <c r="L10" s="4" t="s">
        <v>63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s="4" t="s">
        <v>62</v>
      </c>
      <c r="L11" s="4">
        <f>DATA!G18-SUM(DATA!G3:G15)</f>
        <v>97459.200000000012</v>
      </c>
    </row>
    <row r="12" spans="1:12" x14ac:dyDescent="0.2">
      <c r="A12" t="s">
        <v>69</v>
      </c>
      <c r="B12">
        <v>1920</v>
      </c>
      <c r="C12">
        <f>B12*$C$9</f>
        <v>23040</v>
      </c>
      <c r="H12" s="4" t="s">
        <v>55</v>
      </c>
      <c r="I12" s="4"/>
      <c r="K12" t="s">
        <v>112</v>
      </c>
      <c r="L12" s="4">
        <v>0</v>
      </c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t="s">
        <v>114</v>
      </c>
      <c r="L13">
        <f>'12'!L13-L6</f>
        <v>4619700.9033484301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DATA!C71</f>
        <v>1150</v>
      </c>
      <c r="C15">
        <f>B15*C9</f>
        <v>13800</v>
      </c>
      <c r="H15" s="4" t="s">
        <v>58</v>
      </c>
      <c r="I15" s="4"/>
      <c r="K15" s="25" t="s">
        <v>64</v>
      </c>
      <c r="L15" s="25">
        <f>SUM(L11:L13)</f>
        <v>4717160.1033484302</v>
      </c>
    </row>
    <row r="16" spans="1:12" x14ac:dyDescent="0.2">
      <c r="A16" t="s">
        <v>62</v>
      </c>
      <c r="B16">
        <f>C16/C9</f>
        <v>3635.2000000000003</v>
      </c>
      <c r="C16">
        <f>L4</f>
        <v>43622.400000000001</v>
      </c>
    </row>
    <row r="17" spans="1:12" x14ac:dyDescent="0.2">
      <c r="A17" t="s">
        <v>112</v>
      </c>
      <c r="B17">
        <f>C17/12</f>
        <v>12537</v>
      </c>
      <c r="C17">
        <f>L5</f>
        <v>150444</v>
      </c>
      <c r="H17" s="4"/>
      <c r="I17" s="4" t="s">
        <v>59</v>
      </c>
    </row>
    <row r="18" spans="1:12" x14ac:dyDescent="0.2">
      <c r="A18" t="s">
        <v>114</v>
      </c>
      <c r="B18">
        <f>C18/C9</f>
        <v>14806.7336645783</v>
      </c>
      <c r="C18">
        <f>L6</f>
        <v>177680.8039749396</v>
      </c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3000</v>
      </c>
      <c r="C20">
        <f>B20*$C$9</f>
        <v>36000</v>
      </c>
      <c r="E20" s="20" t="s">
        <v>28</v>
      </c>
      <c r="F20" s="19">
        <f>I31-L21</f>
        <v>3595825.9270884059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(SUM(I4:I5)+SUM(I8:I9)+SUM(I12:I15)+SUM(I18))-G40</f>
        <v>822873.00448352587</v>
      </c>
      <c r="K21" s="23" t="s">
        <v>37</v>
      </c>
      <c r="L21" s="38">
        <f>L8+L15</f>
        <v>5088907.3073233701</v>
      </c>
    </row>
    <row r="22" spans="1:12" ht="15" thickTop="1" x14ac:dyDescent="0.2">
      <c r="A22" t="s">
        <v>83</v>
      </c>
      <c r="B22">
        <v>550</v>
      </c>
      <c r="C22">
        <f>B22*C9</f>
        <v>6600</v>
      </c>
    </row>
    <row r="23" spans="1:12" x14ac:dyDescent="0.2">
      <c r="A23" t="s">
        <v>117</v>
      </c>
      <c r="B23">
        <v>20000</v>
      </c>
      <c r="C23">
        <f>B23*C9</f>
        <v>240000</v>
      </c>
      <c r="I23" s="19"/>
    </row>
    <row r="24" spans="1:12" x14ac:dyDescent="0.2">
      <c r="F24" s="20"/>
    </row>
    <row r="25" spans="1:12" x14ac:dyDescent="0.2">
      <c r="A25" t="s">
        <v>133</v>
      </c>
      <c r="C25" s="8">
        <f>E101</f>
        <v>194259.64615278074</v>
      </c>
      <c r="F25" s="20"/>
    </row>
    <row r="26" spans="1:12" x14ac:dyDescent="0.2">
      <c r="B26" s="4" t="s">
        <v>84</v>
      </c>
      <c r="C26" s="41">
        <f>SUM(C10:C25)</f>
        <v>1111484.8501277203</v>
      </c>
    </row>
    <row r="27" spans="1:12" x14ac:dyDescent="0.2">
      <c r="B27" s="4" t="s">
        <v>85</v>
      </c>
      <c r="C27" s="41">
        <f>C26/C9</f>
        <v>92623.737510643361</v>
      </c>
      <c r="G27" s="22">
        <v>0.4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822873.00448352587</v>
      </c>
      <c r="E29">
        <v>2</v>
      </c>
      <c r="F29" t="s">
        <v>137</v>
      </c>
      <c r="G29">
        <f>DATA!B162</f>
        <v>72051.259261559506</v>
      </c>
      <c r="I29">
        <f>DATA!C90</f>
        <v>1094000</v>
      </c>
    </row>
    <row r="30" spans="1:12" x14ac:dyDescent="0.2">
      <c r="A30" s="20" t="s">
        <v>25</v>
      </c>
      <c r="B30" s="20">
        <f>I21</f>
        <v>822873.00448352587</v>
      </c>
      <c r="C30" s="20"/>
      <c r="E30">
        <v>3</v>
      </c>
      <c r="F30" t="s">
        <v>137</v>
      </c>
      <c r="G30">
        <f>DATA!C162</f>
        <v>66520.512628553406</v>
      </c>
      <c r="I30">
        <f>DATA!F103</f>
        <v>5330424.1192481881</v>
      </c>
    </row>
    <row r="31" spans="1:12" x14ac:dyDescent="0.2">
      <c r="A31" s="20" t="s">
        <v>26</v>
      </c>
      <c r="B31" s="20">
        <f>L8</f>
        <v>371747.20397493959</v>
      </c>
      <c r="C31" s="20"/>
      <c r="E31">
        <v>4</v>
      </c>
      <c r="F31" t="s">
        <v>137</v>
      </c>
      <c r="G31">
        <f>DATA!D162</f>
        <v>124169.7642912853</v>
      </c>
      <c r="I31" s="19">
        <f>I21+G43+I29+I30</f>
        <v>8684733.2344117761</v>
      </c>
    </row>
    <row r="32" spans="1:12" x14ac:dyDescent="0.2">
      <c r="A32" s="20"/>
      <c r="B32" s="21">
        <f>B30/B31</f>
        <v>2.213528429225248</v>
      </c>
      <c r="C32" s="20" t="s">
        <v>87</v>
      </c>
      <c r="E32">
        <v>5</v>
      </c>
      <c r="F32" t="s">
        <v>137</v>
      </c>
      <c r="G32">
        <f>DATA!E162</f>
        <v>124992.31809898255</v>
      </c>
    </row>
    <row r="33" spans="1:7" x14ac:dyDescent="0.2">
      <c r="A33" s="20"/>
      <c r="B33" s="20"/>
      <c r="C33" s="20"/>
      <c r="D33" s="20"/>
      <c r="E33" s="20">
        <v>6</v>
      </c>
      <c r="F33" t="s">
        <v>138</v>
      </c>
      <c r="G33">
        <f>DATA!F162</f>
        <v>154329.56814951025</v>
      </c>
    </row>
    <row r="34" spans="1:7" x14ac:dyDescent="0.2">
      <c r="A34" s="20"/>
      <c r="B34" s="20" t="s">
        <v>20</v>
      </c>
      <c r="C34" s="20"/>
      <c r="E34">
        <v>7</v>
      </c>
      <c r="F34" t="s">
        <v>136</v>
      </c>
      <c r="G34">
        <f>DATA!G162</f>
        <v>102348.60606413781</v>
      </c>
    </row>
    <row r="35" spans="1:7" x14ac:dyDescent="0.2">
      <c r="A35" s="20"/>
      <c r="B35" s="20" t="s">
        <v>23</v>
      </c>
      <c r="C35" s="20"/>
      <c r="E35">
        <v>8</v>
      </c>
      <c r="F35" t="s">
        <v>136</v>
      </c>
      <c r="G35">
        <f>DATA!H162</f>
        <v>129833.60990079667</v>
      </c>
    </row>
    <row r="36" spans="1:7" x14ac:dyDescent="0.2">
      <c r="A36" s="20" t="s">
        <v>25</v>
      </c>
      <c r="B36" s="20">
        <f>B30</f>
        <v>822873.00448352587</v>
      </c>
      <c r="C36" s="20"/>
      <c r="E36">
        <v>9</v>
      </c>
      <c r="F36" t="s">
        <v>136</v>
      </c>
      <c r="G36">
        <f>DATA!I162</f>
        <v>135594.59801786474</v>
      </c>
    </row>
    <row r="37" spans="1:7" x14ac:dyDescent="0.2">
      <c r="A37" s="20" t="s">
        <v>27</v>
      </c>
      <c r="B37" s="20">
        <f>C27</f>
        <v>92623.737510643361</v>
      </c>
      <c r="C37" s="20"/>
      <c r="E37">
        <v>10</v>
      </c>
      <c r="F37" t="s">
        <v>134</v>
      </c>
      <c r="G37">
        <f>DATA!J162</f>
        <v>47996.665417548509</v>
      </c>
    </row>
    <row r="38" spans="1:7" x14ac:dyDescent="0.2">
      <c r="A38" s="20"/>
      <c r="B38" s="21">
        <f>B36/B37</f>
        <v>8.8840401672300242</v>
      </c>
      <c r="C38" s="20" t="s">
        <v>87</v>
      </c>
      <c r="E38">
        <v>11</v>
      </c>
      <c r="F38" t="s">
        <v>134</v>
      </c>
      <c r="G38">
        <f>DATA!K162</f>
        <v>98869.488957435344</v>
      </c>
    </row>
    <row r="39" spans="1:7" x14ac:dyDescent="0.2">
      <c r="E39">
        <v>12</v>
      </c>
      <c r="F39" t="s">
        <v>134</v>
      </c>
      <c r="G39">
        <f>DATA!L162</f>
        <v>160207.93978363374</v>
      </c>
    </row>
    <row r="40" spans="1:7" x14ac:dyDescent="0.2">
      <c r="A40" s="20"/>
      <c r="B40" s="20" t="s">
        <v>21</v>
      </c>
      <c r="E40">
        <v>13</v>
      </c>
      <c r="F40" t="s">
        <v>139</v>
      </c>
      <c r="G40">
        <f>DATA!M162</f>
        <v>220521.78010875519</v>
      </c>
    </row>
    <row r="41" spans="1:7" x14ac:dyDescent="0.2">
      <c r="A41" s="20"/>
      <c r="B41" s="20" t="s">
        <v>24</v>
      </c>
      <c r="E41">
        <v>14</v>
      </c>
    </row>
    <row r="42" spans="1:7" x14ac:dyDescent="0.2">
      <c r="A42" s="20" t="s">
        <v>25</v>
      </c>
      <c r="B42" s="20">
        <f>B30</f>
        <v>822873.00448352587</v>
      </c>
      <c r="E42">
        <v>15</v>
      </c>
    </row>
    <row r="43" spans="1:7" x14ac:dyDescent="0.2">
      <c r="A43" s="20" t="s">
        <v>28</v>
      </c>
      <c r="B43" s="20">
        <f>F20</f>
        <v>3595825.9270884059</v>
      </c>
      <c r="G43">
        <f>SUM(G29:G42)</f>
        <v>1437436.110680063</v>
      </c>
    </row>
    <row r="44" spans="1:7" x14ac:dyDescent="0.2">
      <c r="A44" s="20"/>
      <c r="B44" s="39">
        <f>B42/B43</f>
        <v>0.22884116783423342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5088907.3073233701</v>
      </c>
      <c r="C48" s="20"/>
    </row>
    <row r="49" spans="1:6" x14ac:dyDescent="0.2">
      <c r="A49" s="20" t="s">
        <v>40</v>
      </c>
      <c r="B49" s="20">
        <f>I31</f>
        <v>8684733.2344117761</v>
      </c>
      <c r="C49" s="20"/>
    </row>
    <row r="50" spans="1:6" x14ac:dyDescent="0.2">
      <c r="A50" s="20"/>
      <c r="B50" s="32">
        <f>B48/B49</f>
        <v>0.58596011759571864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3595825.9270884059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8684733.2344117761</v>
      </c>
      <c r="C55" s="20"/>
    </row>
    <row r="56" spans="1:6" x14ac:dyDescent="0.2">
      <c r="A56" s="20"/>
      <c r="B56" s="32">
        <f>B54/B55</f>
        <v>0.41403988240428136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L8</f>
        <v>371747.20397493959</v>
      </c>
    </row>
    <row r="61" spans="1:6" x14ac:dyDescent="0.2">
      <c r="A61" s="20" t="s">
        <v>41</v>
      </c>
      <c r="B61" s="20">
        <f>E2</f>
        <v>1700069.29003021</v>
      </c>
      <c r="F61" s="20"/>
    </row>
    <row r="62" spans="1:6" x14ac:dyDescent="0.2">
      <c r="A62" s="20"/>
      <c r="B62" s="33">
        <f>B60/B61</f>
        <v>0.21866591329835366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30978.933664578301</v>
      </c>
    </row>
    <row r="67" spans="1:6" x14ac:dyDescent="0.2">
      <c r="A67" s="20" t="s">
        <v>42</v>
      </c>
      <c r="B67" s="20">
        <f>B61/12</f>
        <v>141672.44083585084</v>
      </c>
    </row>
    <row r="68" spans="1:6" x14ac:dyDescent="0.2">
      <c r="A68" s="20"/>
      <c r="B68" s="33">
        <f>B66/B67</f>
        <v>0.21866591329835369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822873.00448352587</v>
      </c>
    </row>
    <row r="73" spans="1:6" x14ac:dyDescent="0.2">
      <c r="A73" s="20" t="s">
        <v>15</v>
      </c>
      <c r="B73" s="20">
        <f>E2</f>
        <v>1700069.29003021</v>
      </c>
    </row>
    <row r="74" spans="1:6" x14ac:dyDescent="0.2">
      <c r="A74" s="20"/>
      <c r="B74" s="32">
        <f>B72/B73</f>
        <v>0.48402321558840905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G43</f>
        <v>1437436.110680063</v>
      </c>
      <c r="C78" s="20"/>
    </row>
    <row r="79" spans="1:6" x14ac:dyDescent="0.2">
      <c r="A79" s="20" t="s">
        <v>28</v>
      </c>
      <c r="B79" s="20">
        <f>B43</f>
        <v>3595825.9270884059</v>
      </c>
      <c r="C79" s="20"/>
    </row>
    <row r="80" spans="1:6" x14ac:dyDescent="0.2">
      <c r="A80" s="20"/>
      <c r="B80" s="32">
        <f>B78/B79</f>
        <v>0.39975130604944953</v>
      </c>
      <c r="C80" s="20"/>
    </row>
    <row r="90" spans="1:5" ht="15" thickBot="1" x14ac:dyDescent="0.25">
      <c r="A90" s="43">
        <f>A91-B109</f>
        <v>1317038.584611123</v>
      </c>
    </row>
    <row r="91" spans="1:5" ht="21" thickTop="1" thickBot="1" x14ac:dyDescent="0.25">
      <c r="A91" s="44">
        <f>E2</f>
        <v>1700069.29003021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200000</v>
      </c>
      <c r="D95" s="46">
        <v>0.1</v>
      </c>
      <c r="E95" s="47">
        <f t="shared" si="0"/>
        <v>20000</v>
      </c>
    </row>
    <row r="96" spans="1:5" x14ac:dyDescent="0.2">
      <c r="B96" s="45" t="s">
        <v>128</v>
      </c>
      <c r="C96" s="7">
        <f>IF((A90-C93-C94-C95)&gt;=250000,250000,(A90-C93-C94-C95))</f>
        <v>250000</v>
      </c>
      <c r="D96" s="46">
        <v>0.15</v>
      </c>
      <c r="E96" s="47">
        <f t="shared" si="0"/>
        <v>37500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250000</v>
      </c>
      <c r="D97" s="46">
        <v>0.2</v>
      </c>
      <c r="E97" s="47">
        <f t="shared" si="0"/>
        <v>50000</v>
      </c>
    </row>
    <row r="98" spans="1:5" x14ac:dyDescent="0.2">
      <c r="B98" s="45" t="s">
        <v>130</v>
      </c>
      <c r="C98" s="7">
        <f>IF((A90-C93-C94-C95-C96-C97)&gt;=1000000,1000000,(A90-C93-C94-C95-C96-C97))</f>
        <v>317038.58461112296</v>
      </c>
      <c r="D98" s="46">
        <v>0.25</v>
      </c>
      <c r="E98" s="47">
        <f t="shared" si="0"/>
        <v>79259.646152780741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194259.64615278074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A107" s="50" t="s">
        <v>134</v>
      </c>
      <c r="B107" s="4">
        <f>DATA!E144</f>
        <v>200000</v>
      </c>
    </row>
    <row r="108" spans="1:5" x14ac:dyDescent="0.2">
      <c r="A108" s="50" t="s">
        <v>135</v>
      </c>
      <c r="B108" s="4">
        <f>DATA!F144</f>
        <v>14030.705419087142</v>
      </c>
    </row>
    <row r="109" spans="1:5" x14ac:dyDescent="0.2">
      <c r="B109" s="42">
        <f>SUM(B104:B108)</f>
        <v>383030.70541908714</v>
      </c>
    </row>
  </sheetData>
  <mergeCells count="1">
    <mergeCell ref="A103:B103"/>
  </mergeCells>
  <conditionalFormatting sqref="B32">
    <cfRule type="cellIs" dxfId="56" priority="18" operator="greaterThan">
      <formula>0.9999999999</formula>
    </cfRule>
    <cfRule type="cellIs" dxfId="55" priority="19" operator="lessThan">
      <formula>1</formula>
    </cfRule>
  </conditionalFormatting>
  <conditionalFormatting sqref="B38">
    <cfRule type="cellIs" dxfId="54" priority="16" operator="greaterThan">
      <formula>5.9999</formula>
    </cfRule>
    <cfRule type="cellIs" dxfId="53" priority="17" operator="lessThan">
      <formula>3</formula>
    </cfRule>
  </conditionalFormatting>
  <conditionalFormatting sqref="B44">
    <cfRule type="cellIs" dxfId="52" priority="13" operator="greaterThan">
      <formula>0.29</formula>
    </cfRule>
    <cfRule type="cellIs" dxfId="51" priority="14" operator="lessThan">
      <formula>0.05</formula>
    </cfRule>
    <cfRule type="cellIs" dxfId="50" priority="15" operator="greaterThan">
      <formula>0.049</formula>
    </cfRule>
  </conditionalFormatting>
  <conditionalFormatting sqref="B50">
    <cfRule type="cellIs" dxfId="49" priority="11" operator="greaterThan">
      <formula>0.49</formula>
    </cfRule>
    <cfRule type="cellIs" dxfId="48" priority="12" operator="lessThan">
      <formula>0.41</formula>
    </cfRule>
  </conditionalFormatting>
  <conditionalFormatting sqref="B56">
    <cfRule type="cellIs" dxfId="47" priority="9" operator="lessThan">
      <formula>0.41</formula>
    </cfRule>
    <cfRule type="cellIs" dxfId="46" priority="10" operator="greaterThan">
      <formula>0.59</formula>
    </cfRule>
  </conditionalFormatting>
  <conditionalFormatting sqref="B62">
    <cfRule type="cellIs" dxfId="45" priority="7" operator="greaterThan">
      <formula>0.39</formula>
    </cfRule>
    <cfRule type="cellIs" dxfId="44" priority="8" operator="lessThan">
      <formula>0.281</formula>
    </cfRule>
  </conditionalFormatting>
  <conditionalFormatting sqref="B68">
    <cfRule type="cellIs" dxfId="43" priority="5" operator="greaterThan">
      <formula>0.39</formula>
    </cfRule>
    <cfRule type="cellIs" dxfId="42" priority="6" operator="lessThan">
      <formula>0.281</formula>
    </cfRule>
  </conditionalFormatting>
  <conditionalFormatting sqref="B74">
    <cfRule type="cellIs" dxfId="41" priority="3" operator="lessThan">
      <formula>0.1</formula>
    </cfRule>
    <cfRule type="cellIs" dxfId="40" priority="4" operator="greaterThan">
      <formula>0.19</formula>
    </cfRule>
  </conditionalFormatting>
  <conditionalFormatting sqref="B80">
    <cfRule type="cellIs" dxfId="39" priority="1" operator="lessThan">
      <formula>0.3</formula>
    </cfRule>
    <cfRule type="cellIs" dxfId="38" priority="2" operator="greaterThan">
      <formula>0.49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27691-D9A5-4BDA-99A4-9609186DF07F}">
  <dimension ref="A1:L109"/>
  <sheetViews>
    <sheetView topLeftCell="E20" workbookViewId="0">
      <selection activeCell="B109" sqref="B109"/>
    </sheetView>
  </sheetViews>
  <sheetFormatPr defaultRowHeight="14.25" x14ac:dyDescent="0.2"/>
  <cols>
    <col min="1" max="1" width="28.75" bestFit="1" customWidth="1"/>
    <col min="2" max="2" width="16.5" bestFit="1" customWidth="1"/>
    <col min="3" max="3" width="13.625" bestFit="1" customWidth="1"/>
    <col min="4" max="4" width="19" bestFit="1" customWidth="1"/>
    <col min="5" max="5" width="19.75" bestFit="1" customWidth="1"/>
    <col min="6" max="6" width="18.375" bestFit="1" customWidth="1"/>
    <col min="8" max="8" width="60.25" bestFit="1" customWidth="1"/>
    <col min="9" max="9" width="46.5" bestFit="1" customWidth="1"/>
    <col min="11" max="11" width="23.37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DATA!D44</f>
        <v>14</v>
      </c>
      <c r="B2">
        <f>DATA!E44</f>
        <v>58455.123412020323</v>
      </c>
      <c r="C2">
        <f>DATA!F44</f>
        <v>701461.48094424384</v>
      </c>
      <c r="D2">
        <f>DATA!G44</f>
        <v>1444815.0314499689</v>
      </c>
      <c r="E2">
        <f>DATA!H44</f>
        <v>2146276.5123942127</v>
      </c>
      <c r="F2">
        <f>DATA!I44</f>
        <v>178856.37603285105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'13'!I21+F10</f>
        <v>1967707.4428363177</v>
      </c>
      <c r="K4" s="4" t="s">
        <v>62</v>
      </c>
      <c r="L4" s="4">
        <f>DATA!G16</f>
        <v>47040</v>
      </c>
    </row>
    <row r="5" spans="1:12" x14ac:dyDescent="0.2">
      <c r="H5" s="4" t="s">
        <v>50</v>
      </c>
      <c r="I5" s="4" t="s">
        <v>66</v>
      </c>
      <c r="K5" t="s">
        <v>112</v>
      </c>
      <c r="L5" s="4">
        <v>0</v>
      </c>
    </row>
    <row r="6" spans="1:12" x14ac:dyDescent="0.2">
      <c r="K6" t="s">
        <v>114</v>
      </c>
      <c r="L6">
        <f>DATA!F96</f>
        <v>177680.8039749396</v>
      </c>
    </row>
    <row r="7" spans="1:12" x14ac:dyDescent="0.2">
      <c r="H7" s="4"/>
      <c r="I7" s="4" t="s">
        <v>51</v>
      </c>
    </row>
    <row r="8" spans="1:12" x14ac:dyDescent="0.2">
      <c r="C8" s="2">
        <v>10</v>
      </c>
      <c r="H8" s="4" t="s">
        <v>52</v>
      </c>
      <c r="I8" s="4"/>
      <c r="K8" s="25" t="s">
        <v>65</v>
      </c>
      <c r="L8" s="25">
        <f>SUM(L4:L6)</f>
        <v>224720.8039749396</v>
      </c>
    </row>
    <row r="9" spans="1:12" x14ac:dyDescent="0.2">
      <c r="B9" t="s">
        <v>81</v>
      </c>
      <c r="C9">
        <v>12</v>
      </c>
      <c r="H9" s="4" t="s">
        <v>53</v>
      </c>
      <c r="I9" s="4"/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1144834.4383527918</v>
      </c>
      <c r="K10" s="4"/>
      <c r="L10" s="4" t="s">
        <v>63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s="4" t="s">
        <v>62</v>
      </c>
      <c r="L11" s="4">
        <f>DATA!G18-SUM(DATA!G3:G16)</f>
        <v>50419.200000000012</v>
      </c>
    </row>
    <row r="12" spans="1:12" x14ac:dyDescent="0.2">
      <c r="A12" t="s">
        <v>69</v>
      </c>
      <c r="B12">
        <v>1920</v>
      </c>
      <c r="C12">
        <f>B12*$C$9</f>
        <v>23040</v>
      </c>
      <c r="H12" s="4" t="s">
        <v>55</v>
      </c>
      <c r="I12" s="4"/>
      <c r="K12" t="s">
        <v>112</v>
      </c>
      <c r="L12" s="4">
        <v>0</v>
      </c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t="s">
        <v>114</v>
      </c>
      <c r="L13">
        <f>'13'!L13-L6</f>
        <v>4442020.0993734905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DATA!C71</f>
        <v>1150</v>
      </c>
      <c r="C15">
        <f>B15*C9</f>
        <v>13800</v>
      </c>
      <c r="H15" s="4" t="s">
        <v>58</v>
      </c>
      <c r="I15" s="4"/>
      <c r="K15" s="25" t="s">
        <v>64</v>
      </c>
      <c r="L15" s="25">
        <f>SUM(L11:L13)</f>
        <v>4492439.2993734907</v>
      </c>
    </row>
    <row r="16" spans="1:12" x14ac:dyDescent="0.2">
      <c r="A16" t="s">
        <v>62</v>
      </c>
      <c r="B16">
        <f>C16/C9</f>
        <v>3920</v>
      </c>
      <c r="C16">
        <f>L4</f>
        <v>47040</v>
      </c>
    </row>
    <row r="17" spans="1:12" x14ac:dyDescent="0.2">
      <c r="A17" t="s">
        <v>112</v>
      </c>
      <c r="B17">
        <f>C17/12</f>
        <v>0</v>
      </c>
      <c r="C17">
        <f>L5</f>
        <v>0</v>
      </c>
      <c r="H17" s="4"/>
      <c r="I17" s="4" t="s">
        <v>59</v>
      </c>
    </row>
    <row r="18" spans="1:12" x14ac:dyDescent="0.2">
      <c r="A18" t="s">
        <v>114</v>
      </c>
      <c r="B18">
        <f>C18/C9</f>
        <v>14806.7336645783</v>
      </c>
      <c r="C18">
        <f>L6</f>
        <v>177680.8039749396</v>
      </c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1000</v>
      </c>
      <c r="C20">
        <f>B20*$C$9</f>
        <v>12000</v>
      </c>
      <c r="E20" s="20" t="s">
        <v>28</v>
      </c>
      <c r="F20" s="19">
        <f>I31-L21</f>
        <v>5182077.7951247878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(SUM(I4:I5)+SUM(I8:I9)+SUM(I12:I15)+SUM(I18))-G41</f>
        <v>1537833.3905835396</v>
      </c>
      <c r="K21" s="23" t="s">
        <v>37</v>
      </c>
      <c r="L21" s="38">
        <f>L8+L15</f>
        <v>4717160.1033484302</v>
      </c>
    </row>
    <row r="22" spans="1:12" ht="15" thickTop="1" x14ac:dyDescent="0.2">
      <c r="A22" t="s">
        <v>83</v>
      </c>
      <c r="B22">
        <v>550</v>
      </c>
      <c r="C22">
        <f>B22*C9</f>
        <v>6600</v>
      </c>
    </row>
    <row r="23" spans="1:12" x14ac:dyDescent="0.2">
      <c r="A23" t="s">
        <v>117</v>
      </c>
      <c r="B23">
        <v>20000</v>
      </c>
      <c r="C23">
        <f>B23*C9</f>
        <v>240000</v>
      </c>
      <c r="I23" s="19"/>
    </row>
    <row r="24" spans="1:12" x14ac:dyDescent="0.2">
      <c r="F24" s="20"/>
    </row>
    <row r="25" spans="1:12" x14ac:dyDescent="0.2">
      <c r="A25" t="s">
        <v>133</v>
      </c>
      <c r="C25" s="8">
        <f>E101</f>
        <v>255243.2700664812</v>
      </c>
      <c r="F25" s="20"/>
    </row>
    <row r="26" spans="1:12" x14ac:dyDescent="0.2">
      <c r="B26" s="4" t="s">
        <v>84</v>
      </c>
      <c r="C26" s="41">
        <f>SUM(C10:C25)</f>
        <v>1001442.0740414208</v>
      </c>
    </row>
    <row r="27" spans="1:12" x14ac:dyDescent="0.2">
      <c r="B27" s="4" t="s">
        <v>85</v>
      </c>
      <c r="C27" s="41">
        <f>C26/C9</f>
        <v>83453.506170118402</v>
      </c>
      <c r="G27" s="22">
        <v>0.4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1537833.3905835396</v>
      </c>
      <c r="E29">
        <v>2</v>
      </c>
      <c r="F29" t="s">
        <v>137</v>
      </c>
      <c r="G29">
        <f>DATA!B163</f>
        <v>74573.053335714067</v>
      </c>
      <c r="I29">
        <f>DATA!C90</f>
        <v>1094000</v>
      </c>
    </row>
    <row r="30" spans="1:12" x14ac:dyDescent="0.2">
      <c r="A30" s="20" t="s">
        <v>25</v>
      </c>
      <c r="B30" s="20">
        <f>I21</f>
        <v>1537833.3905835396</v>
      </c>
      <c r="C30" s="20"/>
      <c r="E30">
        <v>3</v>
      </c>
      <c r="F30" t="s">
        <v>137</v>
      </c>
      <c r="G30">
        <f>DATA!C163</f>
        <v>68848.730570552769</v>
      </c>
      <c r="I30">
        <f>DATA!F103</f>
        <v>5330424.1192481881</v>
      </c>
    </row>
    <row r="31" spans="1:12" x14ac:dyDescent="0.2">
      <c r="A31" s="20" t="s">
        <v>26</v>
      </c>
      <c r="B31" s="20">
        <f>L8</f>
        <v>224720.8039749396</v>
      </c>
      <c r="C31" s="20"/>
      <c r="E31">
        <v>4</v>
      </c>
      <c r="F31" t="s">
        <v>137</v>
      </c>
      <c r="G31">
        <f>DATA!D163</f>
        <v>128515.7060414803</v>
      </c>
      <c r="I31" s="19">
        <f>I21+G43+I29+I30</f>
        <v>9899237.8984732181</v>
      </c>
    </row>
    <row r="32" spans="1:12" x14ac:dyDescent="0.2">
      <c r="A32" s="20"/>
      <c r="B32" s="21">
        <f>B30/B31</f>
        <v>6.8433067316501575</v>
      </c>
      <c r="C32" s="20" t="s">
        <v>87</v>
      </c>
      <c r="E32">
        <v>5</v>
      </c>
      <c r="F32" t="s">
        <v>137</v>
      </c>
      <c r="G32">
        <f>DATA!E163</f>
        <v>129367.04923244694</v>
      </c>
    </row>
    <row r="33" spans="1:7" x14ac:dyDescent="0.2">
      <c r="A33" s="20"/>
      <c r="B33" s="20"/>
      <c r="C33" s="20"/>
      <c r="D33" s="20"/>
      <c r="E33" s="20">
        <v>6</v>
      </c>
      <c r="F33" t="s">
        <v>138</v>
      </c>
      <c r="G33">
        <f>DATA!F163</f>
        <v>159589.8265014163</v>
      </c>
    </row>
    <row r="34" spans="1:7" x14ac:dyDescent="0.2">
      <c r="A34" s="20"/>
      <c r="B34" s="20" t="s">
        <v>20</v>
      </c>
      <c r="C34" s="20"/>
      <c r="E34">
        <v>7</v>
      </c>
      <c r="F34" t="s">
        <v>136</v>
      </c>
      <c r="G34">
        <f>DATA!G163</f>
        <v>112071.72364023092</v>
      </c>
    </row>
    <row r="35" spans="1:7" x14ac:dyDescent="0.2">
      <c r="A35" s="20"/>
      <c r="B35" s="20" t="s">
        <v>23</v>
      </c>
      <c r="C35" s="20"/>
      <c r="E35">
        <v>8</v>
      </c>
      <c r="F35" t="s">
        <v>136</v>
      </c>
      <c r="G35">
        <f>DATA!H163</f>
        <v>142167.80284137235</v>
      </c>
    </row>
    <row r="36" spans="1:7" x14ac:dyDescent="0.2">
      <c r="A36" s="20" t="s">
        <v>25</v>
      </c>
      <c r="B36" s="20">
        <f>B30</f>
        <v>1537833.3905835396</v>
      </c>
      <c r="C36" s="20"/>
      <c r="E36">
        <v>9</v>
      </c>
      <c r="F36" t="s">
        <v>136</v>
      </c>
      <c r="G36">
        <f>DATA!I163</f>
        <v>148476.08482956191</v>
      </c>
    </row>
    <row r="37" spans="1:7" x14ac:dyDescent="0.2">
      <c r="A37" s="20" t="s">
        <v>27</v>
      </c>
      <c r="B37" s="20">
        <f>C27</f>
        <v>83453.506170118402</v>
      </c>
      <c r="C37" s="20"/>
      <c r="E37">
        <v>10</v>
      </c>
      <c r="F37" t="s">
        <v>134</v>
      </c>
      <c r="G37">
        <f>DATA!J163</f>
        <v>49436.565380074964</v>
      </c>
    </row>
    <row r="38" spans="1:7" x14ac:dyDescent="0.2">
      <c r="A38" s="20"/>
      <c r="B38" s="21">
        <f>B36/B37</f>
        <v>18.427426972914656</v>
      </c>
      <c r="C38" s="20" t="s">
        <v>87</v>
      </c>
      <c r="E38">
        <v>11</v>
      </c>
      <c r="F38" t="s">
        <v>134</v>
      </c>
      <c r="G38">
        <f>DATA!K163</f>
        <v>101835.5736261584</v>
      </c>
    </row>
    <row r="39" spans="1:7" x14ac:dyDescent="0.2">
      <c r="E39">
        <v>12</v>
      </c>
      <c r="F39" t="s">
        <v>134</v>
      </c>
      <c r="G39">
        <f>DATA!L163</f>
        <v>165014.17797714277</v>
      </c>
    </row>
    <row r="40" spans="1:7" x14ac:dyDescent="0.2">
      <c r="A40" s="20"/>
      <c r="B40" s="20" t="s">
        <v>21</v>
      </c>
      <c r="E40">
        <v>13</v>
      </c>
      <c r="F40" t="s">
        <v>139</v>
      </c>
      <c r="G40">
        <f>DATA!M163</f>
        <v>227210.04241256163</v>
      </c>
    </row>
    <row r="41" spans="1:7" x14ac:dyDescent="0.2">
      <c r="A41" s="20"/>
      <c r="B41" s="20" t="s">
        <v>24</v>
      </c>
      <c r="E41">
        <v>14</v>
      </c>
      <c r="F41" t="s">
        <v>139</v>
      </c>
      <c r="G41">
        <f>DATA!N163</f>
        <v>429874.05225277803</v>
      </c>
    </row>
    <row r="42" spans="1:7" x14ac:dyDescent="0.2">
      <c r="A42" s="20" t="s">
        <v>25</v>
      </c>
      <c r="B42" s="20">
        <f>B30</f>
        <v>1537833.3905835396</v>
      </c>
      <c r="E42">
        <v>15</v>
      </c>
    </row>
    <row r="43" spans="1:7" x14ac:dyDescent="0.2">
      <c r="A43" s="20" t="s">
        <v>28</v>
      </c>
      <c r="B43" s="20">
        <f>F20</f>
        <v>5182077.7951247878</v>
      </c>
      <c r="G43">
        <f>SUM(G29:G42)</f>
        <v>1936980.3886414915</v>
      </c>
    </row>
    <row r="44" spans="1:7" x14ac:dyDescent="0.2">
      <c r="A44" s="20"/>
      <c r="B44" s="39">
        <f>B42/B43</f>
        <v>0.29675999693217797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4717160.1033484302</v>
      </c>
      <c r="C48" s="20"/>
    </row>
    <row r="49" spans="1:6" x14ac:dyDescent="0.2">
      <c r="A49" s="20" t="s">
        <v>40</v>
      </c>
      <c r="B49" s="20">
        <f>I31</f>
        <v>9899237.8984732181</v>
      </c>
      <c r="C49" s="20"/>
    </row>
    <row r="50" spans="1:6" x14ac:dyDescent="0.2">
      <c r="A50" s="20"/>
      <c r="B50" s="32">
        <f>B48/B49</f>
        <v>0.47651750081447869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5182077.7951247878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9899237.8984732181</v>
      </c>
      <c r="C55" s="20"/>
    </row>
    <row r="56" spans="1:6" x14ac:dyDescent="0.2">
      <c r="A56" s="20"/>
      <c r="B56" s="32">
        <f>B54/B55</f>
        <v>0.52348249918552126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L8</f>
        <v>224720.8039749396</v>
      </c>
    </row>
    <row r="61" spans="1:6" x14ac:dyDescent="0.2">
      <c r="A61" s="20" t="s">
        <v>41</v>
      </c>
      <c r="B61" s="20">
        <f>E2</f>
        <v>2146276.5123942127</v>
      </c>
      <c r="F61" s="20"/>
    </row>
    <row r="62" spans="1:6" x14ac:dyDescent="0.2">
      <c r="A62" s="20"/>
      <c r="B62" s="33">
        <f>B60/B61</f>
        <v>0.10470263392309094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18726.7336645783</v>
      </c>
    </row>
    <row r="67" spans="1:6" x14ac:dyDescent="0.2">
      <c r="A67" s="20" t="s">
        <v>42</v>
      </c>
      <c r="B67" s="20">
        <f>B61/12</f>
        <v>178856.37603285105</v>
      </c>
    </row>
    <row r="68" spans="1:6" x14ac:dyDescent="0.2">
      <c r="A68" s="20"/>
      <c r="B68" s="33">
        <f>B66/B67</f>
        <v>0.10470263392309094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1537833.3905835396</v>
      </c>
    </row>
    <row r="73" spans="1:6" x14ac:dyDescent="0.2">
      <c r="A73" s="20" t="s">
        <v>15</v>
      </c>
      <c r="B73" s="20">
        <f>E2</f>
        <v>2146276.5123942127</v>
      </c>
    </row>
    <row r="74" spans="1:6" x14ac:dyDescent="0.2">
      <c r="A74" s="20"/>
      <c r="B74" s="32">
        <f>B72/B73</f>
        <v>0.71651223954739041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G43</f>
        <v>1936980.3886414915</v>
      </c>
      <c r="C78" s="20"/>
    </row>
    <row r="79" spans="1:6" x14ac:dyDescent="0.2">
      <c r="A79" s="20" t="s">
        <v>28</v>
      </c>
      <c r="B79" s="20">
        <f>B43</f>
        <v>5182077.7951247878</v>
      </c>
      <c r="C79" s="20"/>
    </row>
    <row r="80" spans="1:6" x14ac:dyDescent="0.2">
      <c r="A80" s="20"/>
      <c r="B80" s="32">
        <f>B78/B79</f>
        <v>0.37378450598788199</v>
      </c>
      <c r="C80" s="20"/>
    </row>
    <row r="90" spans="1:5" ht="15" thickBot="1" x14ac:dyDescent="0.25">
      <c r="A90" s="43">
        <f>A91-B109</f>
        <v>1560973.0802659248</v>
      </c>
    </row>
    <row r="91" spans="1:5" ht="21" thickTop="1" thickBot="1" x14ac:dyDescent="0.25">
      <c r="A91" s="44">
        <f>E2</f>
        <v>2146276.5123942127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200000</v>
      </c>
      <c r="D95" s="46">
        <v>0.1</v>
      </c>
      <c r="E95" s="47">
        <f t="shared" si="0"/>
        <v>20000</v>
      </c>
    </row>
    <row r="96" spans="1:5" x14ac:dyDescent="0.2">
      <c r="B96" s="45" t="s">
        <v>128</v>
      </c>
      <c r="C96" s="7">
        <f>IF((A90-C93-C94-C95)&gt;=250000,250000,(A90-C93-C94-C95))</f>
        <v>250000</v>
      </c>
      <c r="D96" s="46">
        <v>0.15</v>
      </c>
      <c r="E96" s="47">
        <f t="shared" si="0"/>
        <v>37500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250000</v>
      </c>
      <c r="D97" s="46">
        <v>0.2</v>
      </c>
      <c r="E97" s="47">
        <f t="shared" si="0"/>
        <v>50000</v>
      </c>
    </row>
    <row r="98" spans="1:5" x14ac:dyDescent="0.2">
      <c r="B98" s="45" t="s">
        <v>130</v>
      </c>
      <c r="C98" s="7">
        <f>IF((A90-C93-C94-C95-C96-C97)&gt;=1000000,1000000,(A90-C93-C94-C95-C96-C97))</f>
        <v>560973.0802659248</v>
      </c>
      <c r="D98" s="46">
        <v>0.25</v>
      </c>
      <c r="E98" s="47">
        <f t="shared" si="0"/>
        <v>140243.2700664812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255243.2700664812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A107" s="50" t="s">
        <v>134</v>
      </c>
      <c r="B107" s="4">
        <f>DATA!E145</f>
        <v>200000</v>
      </c>
    </row>
    <row r="108" spans="1:5" x14ac:dyDescent="0.2">
      <c r="A108" s="50" t="s">
        <v>135</v>
      </c>
      <c r="B108" s="4">
        <f>DATA!F145</f>
        <v>216303.43212828797</v>
      </c>
    </row>
    <row r="109" spans="1:5" x14ac:dyDescent="0.2">
      <c r="B109" s="42">
        <f>SUM(B104:B108)</f>
        <v>585303.43212828797</v>
      </c>
    </row>
  </sheetData>
  <mergeCells count="1">
    <mergeCell ref="A103:B103"/>
  </mergeCells>
  <conditionalFormatting sqref="B32">
    <cfRule type="cellIs" dxfId="37" priority="18" operator="greaterThan">
      <formula>0.9999999999</formula>
    </cfRule>
    <cfRule type="cellIs" dxfId="36" priority="19" operator="lessThan">
      <formula>1</formula>
    </cfRule>
  </conditionalFormatting>
  <conditionalFormatting sqref="B38">
    <cfRule type="cellIs" dxfId="35" priority="16" operator="greaterThan">
      <formula>5.9999</formula>
    </cfRule>
    <cfRule type="cellIs" dxfId="34" priority="17" operator="lessThan">
      <formula>3</formula>
    </cfRule>
  </conditionalFormatting>
  <conditionalFormatting sqref="B44">
    <cfRule type="cellIs" dxfId="33" priority="13" operator="greaterThan">
      <formula>0.29</formula>
    </cfRule>
    <cfRule type="cellIs" dxfId="32" priority="14" operator="lessThan">
      <formula>0.05</formula>
    </cfRule>
    <cfRule type="cellIs" dxfId="31" priority="15" operator="greaterThan">
      <formula>0.049</formula>
    </cfRule>
  </conditionalFormatting>
  <conditionalFormatting sqref="B50">
    <cfRule type="cellIs" dxfId="30" priority="11" operator="greaterThan">
      <formula>0.49</formula>
    </cfRule>
    <cfRule type="cellIs" dxfId="29" priority="12" operator="lessThan">
      <formula>0.41</formula>
    </cfRule>
  </conditionalFormatting>
  <conditionalFormatting sqref="B56">
    <cfRule type="cellIs" dxfId="28" priority="9" operator="lessThan">
      <formula>0.41</formula>
    </cfRule>
    <cfRule type="cellIs" dxfId="27" priority="10" operator="greaterThan">
      <formula>0.59</formula>
    </cfRule>
  </conditionalFormatting>
  <conditionalFormatting sqref="B62">
    <cfRule type="cellIs" dxfId="26" priority="7" operator="greaterThan">
      <formula>0.39</formula>
    </cfRule>
    <cfRule type="cellIs" dxfId="25" priority="8" operator="lessThan">
      <formula>0.281</formula>
    </cfRule>
  </conditionalFormatting>
  <conditionalFormatting sqref="B68">
    <cfRule type="cellIs" dxfId="24" priority="5" operator="greaterThan">
      <formula>0.39</formula>
    </cfRule>
    <cfRule type="cellIs" dxfId="23" priority="6" operator="lessThan">
      <formula>0.281</formula>
    </cfRule>
  </conditionalFormatting>
  <conditionalFormatting sqref="B74">
    <cfRule type="cellIs" dxfId="22" priority="3" operator="lessThan">
      <formula>0.1</formula>
    </cfRule>
    <cfRule type="cellIs" dxfId="21" priority="4" operator="greaterThan">
      <formula>0.19</formula>
    </cfRule>
  </conditionalFormatting>
  <conditionalFormatting sqref="B80">
    <cfRule type="cellIs" dxfId="20" priority="1" operator="lessThan">
      <formula>0.3</formula>
    </cfRule>
    <cfRule type="cellIs" dxfId="19" priority="2" operator="greaterThan">
      <formula>0.49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886A-CB53-4185-AACD-4C07990CDC96}">
  <dimension ref="A1:L109"/>
  <sheetViews>
    <sheetView topLeftCell="E7" workbookViewId="0">
      <selection activeCell="F28" sqref="F28:G43"/>
    </sheetView>
  </sheetViews>
  <sheetFormatPr defaultRowHeight="14.25" x14ac:dyDescent="0.2"/>
  <cols>
    <col min="1" max="1" width="28.75" bestFit="1" customWidth="1"/>
    <col min="2" max="2" width="16.5" bestFit="1" customWidth="1"/>
    <col min="3" max="3" width="13.625" bestFit="1" customWidth="1"/>
    <col min="4" max="4" width="19" bestFit="1" customWidth="1"/>
    <col min="5" max="5" width="19.75" bestFit="1" customWidth="1"/>
    <col min="6" max="6" width="18.375" bestFit="1" customWidth="1"/>
    <col min="7" max="7" width="10.375" customWidth="1"/>
    <col min="8" max="8" width="60.25" bestFit="1" customWidth="1"/>
    <col min="9" max="9" width="46.5" bestFit="1" customWidth="1"/>
    <col min="11" max="11" width="23.37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DATA!D45</f>
        <v>15</v>
      </c>
      <c r="B2">
        <f>DATA!E45</f>
        <v>61377.879582621339</v>
      </c>
      <c r="C2">
        <f>DATA!F45</f>
        <v>736534.5549914561</v>
      </c>
      <c r="D2">
        <f>DATA!G45</f>
        <v>2022741.0440299565</v>
      </c>
      <c r="E2">
        <f>DATA!H45</f>
        <v>2759275.5990214124</v>
      </c>
      <c r="F2">
        <f>DATA!I45</f>
        <v>229939.63325178437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'14'!I21+F10</f>
        <v>3155448.3059235886</v>
      </c>
      <c r="K4" s="4" t="s">
        <v>62</v>
      </c>
      <c r="L4" s="4">
        <f>DATA!G17</f>
        <v>50419.199999999997</v>
      </c>
    </row>
    <row r="5" spans="1:12" x14ac:dyDescent="0.2">
      <c r="H5" s="4" t="s">
        <v>50</v>
      </c>
      <c r="I5" s="4" t="s">
        <v>66</v>
      </c>
      <c r="K5" t="s">
        <v>112</v>
      </c>
      <c r="L5" s="4">
        <v>0</v>
      </c>
    </row>
    <row r="6" spans="1:12" x14ac:dyDescent="0.2">
      <c r="K6" t="s">
        <v>114</v>
      </c>
      <c r="L6">
        <f>DATA!F96</f>
        <v>177680.8039749396</v>
      </c>
    </row>
    <row r="7" spans="1:12" x14ac:dyDescent="0.2">
      <c r="H7" s="4"/>
      <c r="I7" s="4" t="s">
        <v>51</v>
      </c>
    </row>
    <row r="8" spans="1:12" x14ac:dyDescent="0.2">
      <c r="C8" s="2">
        <v>10</v>
      </c>
      <c r="H8" s="4" t="s">
        <v>52</v>
      </c>
      <c r="I8" s="4"/>
      <c r="K8" s="25" t="s">
        <v>65</v>
      </c>
      <c r="L8" s="25">
        <f>SUM(L4:L6)</f>
        <v>228100.00397493958</v>
      </c>
    </row>
    <row r="9" spans="1:12" x14ac:dyDescent="0.2">
      <c r="B9" t="s">
        <v>81</v>
      </c>
      <c r="C9">
        <v>12</v>
      </c>
      <c r="H9" s="4" t="s">
        <v>53</v>
      </c>
      <c r="I9" s="4"/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1617614.9153400492</v>
      </c>
      <c r="K10" s="4"/>
      <c r="L10" s="4" t="s">
        <v>63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s="4" t="s">
        <v>62</v>
      </c>
      <c r="L11" s="4">
        <f>DATA!G18-SUM(DATA!G3:G17)</f>
        <v>0</v>
      </c>
    </row>
    <row r="12" spans="1:12" x14ac:dyDescent="0.2">
      <c r="A12" t="s">
        <v>69</v>
      </c>
      <c r="B12">
        <v>1920</v>
      </c>
      <c r="C12">
        <f>B12*$C$9</f>
        <v>23040</v>
      </c>
      <c r="H12" s="4" t="s">
        <v>55</v>
      </c>
      <c r="I12" s="4"/>
      <c r="K12" t="s">
        <v>112</v>
      </c>
      <c r="L12" s="4">
        <v>0</v>
      </c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t="s">
        <v>114</v>
      </c>
      <c r="L13">
        <f>'14'!L13-L6</f>
        <v>4264339.295398551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DATA!C71</f>
        <v>1150</v>
      </c>
      <c r="C15">
        <f>B15*C9</f>
        <v>13800</v>
      </c>
      <c r="H15" s="4" t="s">
        <v>58</v>
      </c>
      <c r="I15" s="4"/>
      <c r="K15" s="25" t="s">
        <v>64</v>
      </c>
      <c r="L15" s="25">
        <f>SUM(L11:L13)</f>
        <v>4264339.295398551</v>
      </c>
    </row>
    <row r="16" spans="1:12" x14ac:dyDescent="0.2">
      <c r="A16" t="s">
        <v>62</v>
      </c>
      <c r="B16">
        <f>C16/C9</f>
        <v>4201.5999999999995</v>
      </c>
      <c r="C16">
        <f>L4</f>
        <v>50419.199999999997</v>
      </c>
    </row>
    <row r="17" spans="1:12" x14ac:dyDescent="0.2">
      <c r="A17" t="s">
        <v>112</v>
      </c>
      <c r="B17">
        <f>C17/12</f>
        <v>0</v>
      </c>
      <c r="C17">
        <f>L5</f>
        <v>0</v>
      </c>
      <c r="H17" s="4"/>
      <c r="I17" s="4" t="s">
        <v>59</v>
      </c>
    </row>
    <row r="18" spans="1:12" x14ac:dyDescent="0.2">
      <c r="A18" t="s">
        <v>114</v>
      </c>
      <c r="B18">
        <f>C18/C9</f>
        <v>14806.7336645783</v>
      </c>
      <c r="C18">
        <f>L6</f>
        <v>177680.8039749396</v>
      </c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1000</v>
      </c>
      <c r="C20">
        <f>B20*$C$9</f>
        <v>12000</v>
      </c>
      <c r="E20" s="20" t="s">
        <v>28</v>
      </c>
      <c r="F20" s="19">
        <f>I31-L21</f>
        <v>7112552.9183066543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(SUM(I4:I5)+SUM(I8:I9)+SUM(I12:I15)+SUM(I18))-G42</f>
        <v>2548855.7309728083</v>
      </c>
      <c r="K21" s="23" t="s">
        <v>37</v>
      </c>
      <c r="L21" s="38">
        <f>L8+L15</f>
        <v>4492439.2993734907</v>
      </c>
    </row>
    <row r="22" spans="1:12" ht="15" thickTop="1" x14ac:dyDescent="0.2">
      <c r="A22" t="s">
        <v>83</v>
      </c>
      <c r="B22">
        <v>550</v>
      </c>
      <c r="C22">
        <f>B22*C9</f>
        <v>6600</v>
      </c>
    </row>
    <row r="23" spans="1:12" x14ac:dyDescent="0.2">
      <c r="A23" t="s">
        <v>117</v>
      </c>
      <c r="B23">
        <v>20000</v>
      </c>
      <c r="C23">
        <f>B23*C9</f>
        <v>240000</v>
      </c>
      <c r="I23" s="19"/>
    </row>
    <row r="24" spans="1:12" x14ac:dyDescent="0.2">
      <c r="F24" s="20"/>
    </row>
    <row r="25" spans="1:12" x14ac:dyDescent="0.2">
      <c r="A25" t="s">
        <v>133</v>
      </c>
      <c r="C25" s="8">
        <f>E101</f>
        <v>392082.67970642372</v>
      </c>
      <c r="F25" s="20"/>
    </row>
    <row r="26" spans="1:12" x14ac:dyDescent="0.2">
      <c r="B26" s="4" t="s">
        <v>84</v>
      </c>
      <c r="C26" s="41">
        <f>SUM(C10:C25)</f>
        <v>1141660.6836813632</v>
      </c>
    </row>
    <row r="27" spans="1:12" x14ac:dyDescent="0.2">
      <c r="B27" s="4" t="s">
        <v>85</v>
      </c>
      <c r="C27" s="41">
        <f>C26/C9</f>
        <v>95138.390306780275</v>
      </c>
      <c r="G27" s="22">
        <v>0.4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2548855.7309728083</v>
      </c>
      <c r="E29">
        <v>2</v>
      </c>
      <c r="F29" t="s">
        <v>137</v>
      </c>
      <c r="G29">
        <f>DATA!B164</f>
        <v>77183.110202464071</v>
      </c>
      <c r="I29">
        <f>DATA!C90</f>
        <v>1094000</v>
      </c>
    </row>
    <row r="30" spans="1:12" x14ac:dyDescent="0.2">
      <c r="A30" s="20" t="s">
        <v>25</v>
      </c>
      <c r="B30" s="20">
        <f>I21</f>
        <v>2548855.7309728083</v>
      </c>
      <c r="C30" s="20"/>
      <c r="E30">
        <v>3</v>
      </c>
      <c r="F30" t="s">
        <v>137</v>
      </c>
      <c r="G30">
        <f>DATA!C164</f>
        <v>71258.436140522099</v>
      </c>
      <c r="I30">
        <f>DATA!F103</f>
        <v>5330424.1192481881</v>
      </c>
    </row>
    <row r="31" spans="1:12" x14ac:dyDescent="0.2">
      <c r="A31" s="20" t="s">
        <v>26</v>
      </c>
      <c r="B31" s="20">
        <f>L8</f>
        <v>228100.00397493958</v>
      </c>
      <c r="C31" s="20"/>
      <c r="E31">
        <v>4</v>
      </c>
      <c r="F31" t="s">
        <v>137</v>
      </c>
      <c r="G31">
        <f>DATA!D164</f>
        <v>133013.75575293211</v>
      </c>
      <c r="I31" s="19">
        <f>I21+G43+I29+I30</f>
        <v>11604992.217680145</v>
      </c>
    </row>
    <row r="32" spans="1:12" x14ac:dyDescent="0.2">
      <c r="A32" s="20"/>
      <c r="B32" s="21">
        <f>B30/B31</f>
        <v>11.174290603049883</v>
      </c>
      <c r="C32" s="20" t="s">
        <v>87</v>
      </c>
      <c r="E32">
        <v>5</v>
      </c>
      <c r="F32" t="s">
        <v>137</v>
      </c>
      <c r="G32">
        <f>DATA!E164</f>
        <v>133894.89595558259</v>
      </c>
    </row>
    <row r="33" spans="1:7" x14ac:dyDescent="0.2">
      <c r="A33" s="20"/>
      <c r="B33" s="20"/>
      <c r="C33" s="20"/>
      <c r="D33" s="20"/>
      <c r="E33" s="20">
        <v>6</v>
      </c>
      <c r="F33" t="s">
        <v>138</v>
      </c>
      <c r="G33">
        <f>DATA!F164</f>
        <v>165029.95559963933</v>
      </c>
    </row>
    <row r="34" spans="1:7" x14ac:dyDescent="0.2">
      <c r="A34" s="20"/>
      <c r="B34" s="20" t="s">
        <v>20</v>
      </c>
      <c r="C34" s="20"/>
      <c r="E34">
        <v>7</v>
      </c>
      <c r="F34" t="s">
        <v>136</v>
      </c>
      <c r="G34">
        <f>DATA!G164</f>
        <v>122718.53738605283</v>
      </c>
    </row>
    <row r="35" spans="1:7" x14ac:dyDescent="0.2">
      <c r="A35" s="20"/>
      <c r="B35" s="20" t="s">
        <v>23</v>
      </c>
      <c r="C35" s="20"/>
      <c r="E35">
        <v>8</v>
      </c>
      <c r="F35" t="s">
        <v>136</v>
      </c>
      <c r="G35">
        <f>DATA!H164</f>
        <v>155673.74411130272</v>
      </c>
    </row>
    <row r="36" spans="1:7" x14ac:dyDescent="0.2">
      <c r="A36" s="20" t="s">
        <v>25</v>
      </c>
      <c r="B36" s="20">
        <f>B30</f>
        <v>2548855.7309728083</v>
      </c>
      <c r="C36" s="20"/>
      <c r="E36">
        <v>9</v>
      </c>
      <c r="F36" t="s">
        <v>136</v>
      </c>
      <c r="G36">
        <f>DATA!I164</f>
        <v>162581.31288837027</v>
      </c>
    </row>
    <row r="37" spans="1:7" x14ac:dyDescent="0.2">
      <c r="A37" s="20" t="s">
        <v>27</v>
      </c>
      <c r="B37" s="20">
        <f>C27</f>
        <v>95138.390306780275</v>
      </c>
      <c r="C37" s="20"/>
      <c r="E37">
        <v>10</v>
      </c>
      <c r="F37" t="s">
        <v>134</v>
      </c>
      <c r="G37">
        <f>DATA!J164</f>
        <v>50919.662341477211</v>
      </c>
    </row>
    <row r="38" spans="1:7" x14ac:dyDescent="0.2">
      <c r="A38" s="20"/>
      <c r="B38" s="21">
        <f>B36/B37</f>
        <v>26.791032755061842</v>
      </c>
      <c r="C38" s="20" t="s">
        <v>87</v>
      </c>
      <c r="E38">
        <v>11</v>
      </c>
      <c r="F38" t="s">
        <v>134</v>
      </c>
      <c r="G38">
        <f>DATA!K164</f>
        <v>104890.64083494314</v>
      </c>
    </row>
    <row r="39" spans="1:7" x14ac:dyDescent="0.2">
      <c r="E39">
        <v>12</v>
      </c>
      <c r="F39" t="s">
        <v>134</v>
      </c>
      <c r="G39">
        <f>DATA!L164</f>
        <v>169964.60331645704</v>
      </c>
    </row>
    <row r="40" spans="1:7" x14ac:dyDescent="0.2">
      <c r="A40" s="20"/>
      <c r="B40" s="20" t="s">
        <v>21</v>
      </c>
      <c r="E40">
        <v>13</v>
      </c>
      <c r="F40" t="s">
        <v>139</v>
      </c>
      <c r="G40">
        <f>DATA!M164</f>
        <v>234101.49389700126</v>
      </c>
    </row>
    <row r="41" spans="1:7" x14ac:dyDescent="0.2">
      <c r="A41" s="20"/>
      <c r="B41" s="20" t="s">
        <v>24</v>
      </c>
      <c r="E41">
        <v>14</v>
      </c>
      <c r="F41" t="s">
        <v>139</v>
      </c>
      <c r="G41">
        <f>DATA!N164</f>
        <v>443889.64408162527</v>
      </c>
    </row>
    <row r="42" spans="1:7" x14ac:dyDescent="0.2">
      <c r="A42" s="20" t="s">
        <v>25</v>
      </c>
      <c r="B42" s="20">
        <f>B30</f>
        <v>2548855.7309728083</v>
      </c>
      <c r="E42">
        <v>15</v>
      </c>
      <c r="F42" t="s">
        <v>140</v>
      </c>
      <c r="G42">
        <f>DATA!O164</f>
        <v>606592.57495078037</v>
      </c>
    </row>
    <row r="43" spans="1:7" x14ac:dyDescent="0.2">
      <c r="A43" s="20" t="s">
        <v>28</v>
      </c>
      <c r="B43" s="20">
        <f>F20</f>
        <v>7112552.9183066543</v>
      </c>
      <c r="G43">
        <f>SUM(G29:G42)</f>
        <v>2631712.36745915</v>
      </c>
    </row>
    <row r="44" spans="1:7" x14ac:dyDescent="0.2">
      <c r="A44" s="20"/>
      <c r="B44" s="39">
        <f>B42/B43</f>
        <v>0.35836017815943871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4492439.2993734907</v>
      </c>
      <c r="C48" s="20"/>
    </row>
    <row r="49" spans="1:6" x14ac:dyDescent="0.2">
      <c r="A49" s="20" t="s">
        <v>40</v>
      </c>
      <c r="B49" s="20">
        <f>I31</f>
        <v>11604992.217680145</v>
      </c>
      <c r="C49" s="20"/>
    </row>
    <row r="50" spans="1:6" x14ac:dyDescent="0.2">
      <c r="A50" s="20"/>
      <c r="B50" s="32">
        <f>B48/B49</f>
        <v>0.38711265075467116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7112552.9183066543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11604992.217680145</v>
      </c>
      <c r="C55" s="20"/>
    </row>
    <row r="56" spans="1:6" x14ac:dyDescent="0.2">
      <c r="A56" s="20"/>
      <c r="B56" s="32">
        <f>B54/B55</f>
        <v>0.61288734924532884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L8</f>
        <v>228100.00397493958</v>
      </c>
    </row>
    <row r="61" spans="1:6" x14ac:dyDescent="0.2">
      <c r="A61" s="20" t="s">
        <v>41</v>
      </c>
      <c r="B61" s="20">
        <f>E2</f>
        <v>2759275.5990214124</v>
      </c>
      <c r="F61" s="20"/>
    </row>
    <row r="62" spans="1:6" x14ac:dyDescent="0.2">
      <c r="A62" s="20"/>
      <c r="B62" s="33">
        <f>B60/B61</f>
        <v>8.2666625999895091E-2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19008.333664578298</v>
      </c>
    </row>
    <row r="67" spans="1:6" x14ac:dyDescent="0.2">
      <c r="A67" s="20" t="s">
        <v>42</v>
      </c>
      <c r="B67" s="20">
        <f>B61/12</f>
        <v>229939.63325178437</v>
      </c>
    </row>
    <row r="68" spans="1:6" x14ac:dyDescent="0.2">
      <c r="A68" s="20"/>
      <c r="B68" s="33">
        <f>B66/B67</f>
        <v>8.2666625999895091E-2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2548855.7309728083</v>
      </c>
    </row>
    <row r="73" spans="1:6" x14ac:dyDescent="0.2">
      <c r="A73" s="20" t="s">
        <v>15</v>
      </c>
      <c r="B73" s="20">
        <f>E2</f>
        <v>2759275.5990214124</v>
      </c>
    </row>
    <row r="74" spans="1:6" x14ac:dyDescent="0.2">
      <c r="A74" s="20"/>
      <c r="B74" s="32">
        <f>B72/B73</f>
        <v>0.92374090209646675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G43</f>
        <v>2631712.36745915</v>
      </c>
      <c r="C78" s="20"/>
    </row>
    <row r="79" spans="1:6" x14ac:dyDescent="0.2">
      <c r="A79" s="20" t="s">
        <v>28</v>
      </c>
      <c r="B79" s="20">
        <f>B43</f>
        <v>7112552.9183066543</v>
      </c>
      <c r="C79" s="20"/>
    </row>
    <row r="80" spans="1:6" x14ac:dyDescent="0.2">
      <c r="A80" s="20"/>
      <c r="B80" s="32">
        <f>B78/B79</f>
        <v>0.37000953071090881</v>
      </c>
      <c r="C80" s="20"/>
    </row>
    <row r="90" spans="1:5" ht="15" thickBot="1" x14ac:dyDescent="0.25">
      <c r="A90" s="43">
        <f>A91-B109</f>
        <v>2090275.5990214124</v>
      </c>
    </row>
    <row r="91" spans="1:5" ht="21" thickTop="1" thickBot="1" x14ac:dyDescent="0.25">
      <c r="A91" s="44">
        <f>E2</f>
        <v>2759275.5990214124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200000</v>
      </c>
      <c r="D95" s="46">
        <v>0.1</v>
      </c>
      <c r="E95" s="47">
        <f t="shared" si="0"/>
        <v>20000</v>
      </c>
    </row>
    <row r="96" spans="1:5" x14ac:dyDescent="0.2">
      <c r="B96" s="45" t="s">
        <v>128</v>
      </c>
      <c r="C96" s="7">
        <f>IF((A90-C93-C94-C95)&gt;=250000,250000,(A90-C93-C94-C95))</f>
        <v>250000</v>
      </c>
      <c r="D96" s="46">
        <v>0.15</v>
      </c>
      <c r="E96" s="47">
        <f t="shared" si="0"/>
        <v>37500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250000</v>
      </c>
      <c r="D97" s="46">
        <v>0.2</v>
      </c>
      <c r="E97" s="47">
        <f t="shared" si="0"/>
        <v>50000</v>
      </c>
    </row>
    <row r="98" spans="1:5" x14ac:dyDescent="0.2">
      <c r="B98" s="45" t="s">
        <v>130</v>
      </c>
      <c r="C98" s="7">
        <f>IF((A90-C93-C94-C95-C96-C97)&gt;=1000000,1000000,(A90-C93-C94-C95-C96-C97))</f>
        <v>1000000</v>
      </c>
      <c r="D98" s="46">
        <v>0.25</v>
      </c>
      <c r="E98" s="47">
        <f t="shared" si="0"/>
        <v>250000</v>
      </c>
    </row>
    <row r="99" spans="1:5" x14ac:dyDescent="0.2">
      <c r="B99" s="45" t="s">
        <v>131</v>
      </c>
      <c r="C99" s="7">
        <f>IF((A90-C93-C94-C95-C96-C97-C98)&gt;=3000000,3000000,(A90-C93-C94-C95-C96-C97-C98))</f>
        <v>90275.599021412432</v>
      </c>
      <c r="D99" s="46">
        <v>0.3</v>
      </c>
      <c r="E99" s="47">
        <f t="shared" si="0"/>
        <v>27082.679706423729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392082.67970642372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A107" s="50" t="s">
        <v>134</v>
      </c>
      <c r="B107" s="4">
        <f>DATA!E146</f>
        <v>200000</v>
      </c>
    </row>
    <row r="108" spans="1:5" x14ac:dyDescent="0.2">
      <c r="A108" s="50" t="s">
        <v>135</v>
      </c>
      <c r="B108" s="4">
        <f>DATA!F146</f>
        <v>300000</v>
      </c>
    </row>
    <row r="109" spans="1:5" x14ac:dyDescent="0.2">
      <c r="B109" s="42">
        <f>SUM(B104:B108)</f>
        <v>669000</v>
      </c>
    </row>
  </sheetData>
  <mergeCells count="1">
    <mergeCell ref="A103:B103"/>
  </mergeCells>
  <conditionalFormatting sqref="B32">
    <cfRule type="cellIs" dxfId="18" priority="18" operator="greaterThan">
      <formula>0.9999999999</formula>
    </cfRule>
    <cfRule type="cellIs" dxfId="17" priority="19" operator="lessThan">
      <formula>1</formula>
    </cfRule>
  </conditionalFormatting>
  <conditionalFormatting sqref="B38">
    <cfRule type="cellIs" dxfId="16" priority="16" operator="greaterThan">
      <formula>5.9999</formula>
    </cfRule>
    <cfRule type="cellIs" dxfId="15" priority="17" operator="lessThan">
      <formula>3</formula>
    </cfRule>
  </conditionalFormatting>
  <conditionalFormatting sqref="B44">
    <cfRule type="cellIs" dxfId="14" priority="13" operator="greaterThan">
      <formula>0.29</formula>
    </cfRule>
    <cfRule type="cellIs" dxfId="13" priority="14" operator="lessThan">
      <formula>0.05</formula>
    </cfRule>
    <cfRule type="cellIs" dxfId="12" priority="15" operator="greaterThan">
      <formula>0.049</formula>
    </cfRule>
  </conditionalFormatting>
  <conditionalFormatting sqref="B50">
    <cfRule type="cellIs" dxfId="11" priority="11" operator="greaterThan">
      <formula>0.49</formula>
    </cfRule>
    <cfRule type="cellIs" dxfId="10" priority="12" operator="lessThan">
      <formula>0.41</formula>
    </cfRule>
  </conditionalFormatting>
  <conditionalFormatting sqref="B56">
    <cfRule type="cellIs" dxfId="9" priority="9" operator="lessThan">
      <formula>0.41</formula>
    </cfRule>
    <cfRule type="cellIs" dxfId="8" priority="10" operator="greaterThan">
      <formula>0.59</formula>
    </cfRule>
  </conditionalFormatting>
  <conditionalFormatting sqref="B62">
    <cfRule type="cellIs" dxfId="7" priority="7" operator="greaterThan">
      <formula>0.39</formula>
    </cfRule>
    <cfRule type="cellIs" dxfId="6" priority="8" operator="lessThan">
      <formula>0.281</formula>
    </cfRule>
  </conditionalFormatting>
  <conditionalFormatting sqref="B68">
    <cfRule type="cellIs" dxfId="5" priority="5" operator="greaterThan">
      <formula>0.39</formula>
    </cfRule>
    <cfRule type="cellIs" dxfId="4" priority="6" operator="lessThan">
      <formula>0.281</formula>
    </cfRule>
  </conditionalFormatting>
  <conditionalFormatting sqref="B74">
    <cfRule type="cellIs" dxfId="3" priority="3" operator="lessThan">
      <formula>0.1</formula>
    </cfRule>
    <cfRule type="cellIs" dxfId="2" priority="4" operator="greaterThan">
      <formula>0.19</formula>
    </cfRule>
  </conditionalFormatting>
  <conditionalFormatting sqref="B80">
    <cfRule type="cellIs" dxfId="1" priority="1" operator="lessThan">
      <formula>0.3</formula>
    </cfRule>
    <cfRule type="cellIs" dxfId="0" priority="2" operator="greaterThan">
      <formula>0.49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C3D4-0410-486E-9244-4D15D5FEF8D0}">
  <dimension ref="A3:AF138"/>
  <sheetViews>
    <sheetView tabSelected="1" topLeftCell="A117" zoomScale="96" zoomScaleNormal="96" workbookViewId="0">
      <selection activeCell="C143" sqref="C143"/>
    </sheetView>
  </sheetViews>
  <sheetFormatPr defaultRowHeight="14.25" x14ac:dyDescent="0.2"/>
  <cols>
    <col min="1" max="1" width="10.625" bestFit="1" customWidth="1"/>
    <col min="2" max="2" width="15.75" customWidth="1"/>
    <col min="3" max="16" width="11.375" bestFit="1" customWidth="1"/>
  </cols>
  <sheetData>
    <row r="3" spans="1:32" x14ac:dyDescent="0.2">
      <c r="U3" s="20" t="s">
        <v>33</v>
      </c>
      <c r="AF3" s="20" t="s">
        <v>45</v>
      </c>
    </row>
    <row r="4" spans="1:32" x14ac:dyDescent="0.2">
      <c r="B4" t="s">
        <v>115</v>
      </c>
      <c r="K4" s="20" t="s">
        <v>22</v>
      </c>
      <c r="T4">
        <v>1</v>
      </c>
      <c r="U4" s="34">
        <f>'1'!B50</f>
        <v>4.6636436383035482</v>
      </c>
      <c r="AE4">
        <v>1</v>
      </c>
      <c r="AF4" s="34">
        <f>'1'!B74</f>
        <v>0.18154963680387409</v>
      </c>
    </row>
    <row r="5" spans="1:32" x14ac:dyDescent="0.2">
      <c r="A5">
        <v>1</v>
      </c>
      <c r="B5" s="11">
        <f>'1'!C26</f>
        <v>405624</v>
      </c>
      <c r="J5">
        <v>1</v>
      </c>
      <c r="K5">
        <f>'1'!B32</f>
        <v>15.620833333333334</v>
      </c>
      <c r="T5">
        <v>2</v>
      </c>
      <c r="U5" s="34">
        <f>'2'!B50</f>
        <v>1.2602668310252887</v>
      </c>
      <c r="AE5">
        <v>2</v>
      </c>
      <c r="AF5" s="34">
        <f>'2'!B74</f>
        <v>0.53621660863215337</v>
      </c>
    </row>
    <row r="6" spans="1:32" x14ac:dyDescent="0.2">
      <c r="A6">
        <v>2</v>
      </c>
      <c r="B6" s="11">
        <f>'2'!C26</f>
        <v>281968.40000000002</v>
      </c>
      <c r="J6">
        <v>2</v>
      </c>
      <c r="K6">
        <f>'2'!B32</f>
        <v>20.850998236489716</v>
      </c>
      <c r="T6">
        <v>3</v>
      </c>
      <c r="U6" s="35">
        <f>'3'!B50</f>
        <v>0.7177851931715663</v>
      </c>
      <c r="AE6">
        <v>3</v>
      </c>
      <c r="AF6" s="34">
        <f>'3'!B74</f>
        <v>0.84131459958748089</v>
      </c>
    </row>
    <row r="7" spans="1:32" x14ac:dyDescent="0.2">
      <c r="A7">
        <v>3</v>
      </c>
      <c r="B7" s="11">
        <f>'3'!C26</f>
        <v>318584.30000000005</v>
      </c>
      <c r="J7">
        <v>3</v>
      </c>
      <c r="K7">
        <f>'3'!B32</f>
        <v>30.230261988373314</v>
      </c>
      <c r="T7">
        <v>4</v>
      </c>
      <c r="U7" s="34">
        <f>'4'!B50</f>
        <v>0.50895172307453596</v>
      </c>
      <c r="AE7">
        <v>4</v>
      </c>
      <c r="AF7" s="34">
        <f>'4'!B74</f>
        <v>0.97186688293366552</v>
      </c>
    </row>
    <row r="8" spans="1:32" x14ac:dyDescent="0.2">
      <c r="A8">
        <v>4</v>
      </c>
      <c r="B8" s="11">
        <f>'4'!C26</f>
        <v>384918.44</v>
      </c>
      <c r="J8">
        <v>4</v>
      </c>
      <c r="K8">
        <f>'4'!B32</f>
        <v>33.166397081334644</v>
      </c>
      <c r="T8">
        <v>5</v>
      </c>
      <c r="U8" s="34">
        <f>'5'!B50</f>
        <v>0.38061423735811212</v>
      </c>
      <c r="AE8">
        <v>5</v>
      </c>
      <c r="AF8" s="34">
        <f>'5'!B74</f>
        <v>1.0907982745838385</v>
      </c>
    </row>
    <row r="9" spans="1:32" x14ac:dyDescent="0.2">
      <c r="A9">
        <v>5</v>
      </c>
      <c r="B9" s="11">
        <f>'5'!C26</f>
        <v>413252.18150000001</v>
      </c>
      <c r="J9">
        <v>5</v>
      </c>
      <c r="K9">
        <f>'5'!B32</f>
        <v>35.808288470770293</v>
      </c>
      <c r="T9">
        <v>6</v>
      </c>
      <c r="U9" s="34">
        <f>'6'!B50</f>
        <v>0.2873460370854945</v>
      </c>
      <c r="AE9">
        <v>6</v>
      </c>
      <c r="AF9" s="34">
        <f>'6'!B74</f>
        <v>1.2029839524845058</v>
      </c>
    </row>
    <row r="10" spans="1:32" x14ac:dyDescent="0.2">
      <c r="A10">
        <v>6</v>
      </c>
      <c r="B10" s="11">
        <f>'6'!C26</f>
        <v>417825.77802500001</v>
      </c>
      <c r="J10">
        <v>6</v>
      </c>
      <c r="K10">
        <f>'6'!B32</f>
        <v>38.385993378994392</v>
      </c>
      <c r="T10">
        <v>7</v>
      </c>
      <c r="U10" s="34">
        <f>'7'!B50</f>
        <v>0.631905320842295</v>
      </c>
      <c r="AE10">
        <v>7</v>
      </c>
      <c r="AF10" s="34">
        <f>'7'!B74</f>
        <v>0.82665666621764944</v>
      </c>
    </row>
    <row r="11" spans="1:32" x14ac:dyDescent="0.2">
      <c r="A11">
        <v>7</v>
      </c>
      <c r="B11" s="11">
        <f>'7'!C26</f>
        <v>580607.06376687507</v>
      </c>
      <c r="J11">
        <v>7</v>
      </c>
      <c r="K11">
        <f>'7'!B32</f>
        <v>3.426958133206325</v>
      </c>
      <c r="T11">
        <v>8</v>
      </c>
      <c r="U11" s="34">
        <f>'8'!B50</f>
        <v>0.50462791804278984</v>
      </c>
      <c r="AE11">
        <v>8</v>
      </c>
      <c r="AF11" s="34">
        <f>'8'!B74</f>
        <v>0.88940480268590583</v>
      </c>
    </row>
    <row r="12" spans="1:32" x14ac:dyDescent="0.2">
      <c r="A12">
        <v>8</v>
      </c>
      <c r="B12" s="11">
        <f>'8'!C26</f>
        <v>596323.39600821876</v>
      </c>
      <c r="J12">
        <v>8</v>
      </c>
      <c r="K12">
        <f>'8'!B32</f>
        <v>3.9559823030451184</v>
      </c>
      <c r="T12">
        <v>9</v>
      </c>
      <c r="U12" s="34">
        <f>'9'!B50</f>
        <v>0.3916616544755977</v>
      </c>
      <c r="AE12">
        <v>9</v>
      </c>
      <c r="AF12" s="34">
        <f>'9'!B74</f>
        <v>0.94882492708615196</v>
      </c>
    </row>
    <row r="13" spans="1:32" x14ac:dyDescent="0.2">
      <c r="A13">
        <v>9</v>
      </c>
      <c r="B13" s="11">
        <f>'9'!C26</f>
        <v>647694.16467222967</v>
      </c>
      <c r="J13">
        <v>9</v>
      </c>
      <c r="K13">
        <f>'9'!B32</f>
        <v>4.5489314918311763</v>
      </c>
      <c r="T13">
        <v>10</v>
      </c>
      <c r="U13" s="34">
        <f>'10'!B50</f>
        <v>0.85293331155107555</v>
      </c>
      <c r="AE13">
        <v>10</v>
      </c>
      <c r="AF13" s="34">
        <f>'10'!B74</f>
        <v>1.2228158253211961E-2</v>
      </c>
    </row>
    <row r="14" spans="1:32" x14ac:dyDescent="0.2">
      <c r="A14">
        <v>10</v>
      </c>
      <c r="B14" s="11">
        <f>'10'!C26</f>
        <v>838474.03718210559</v>
      </c>
      <c r="J14">
        <v>10</v>
      </c>
      <c r="K14">
        <f>'10'!B32</f>
        <v>3.2263867913590795E-2</v>
      </c>
      <c r="T14">
        <v>11</v>
      </c>
      <c r="U14" s="34">
        <f>'11'!B50</f>
        <v>0.76899250211423131</v>
      </c>
      <c r="AE14">
        <v>11</v>
      </c>
      <c r="AF14" s="34">
        <f>'11'!B74</f>
        <v>0.17225026709154581</v>
      </c>
    </row>
    <row r="15" spans="1:32" x14ac:dyDescent="0.2">
      <c r="A15">
        <v>11</v>
      </c>
      <c r="B15" s="11">
        <f>'11'!C26</f>
        <v>855875.86460611201</v>
      </c>
      <c r="J15">
        <v>11</v>
      </c>
      <c r="K15">
        <f>'11'!B32</f>
        <v>0.53473830605110262</v>
      </c>
      <c r="T15">
        <v>12</v>
      </c>
      <c r="U15" s="34">
        <f>'12'!B50</f>
        <v>0.67900101565346649</v>
      </c>
      <c r="AE15">
        <v>12</v>
      </c>
      <c r="AF15" s="34">
        <f>'12'!B74</f>
        <v>0.33115728496133467</v>
      </c>
    </row>
    <row r="16" spans="1:32" x14ac:dyDescent="0.2">
      <c r="A16">
        <v>12</v>
      </c>
      <c r="B16" s="11">
        <f>'12'!C26</f>
        <v>958115.55867955287</v>
      </c>
      <c r="J16">
        <v>12</v>
      </c>
      <c r="K16">
        <f>'12'!B32</f>
        <v>1.2349204645157339</v>
      </c>
      <c r="T16">
        <v>13</v>
      </c>
      <c r="U16" s="34">
        <f>'13'!B50</f>
        <v>0.58596011759571864</v>
      </c>
      <c r="AE16">
        <v>13</v>
      </c>
      <c r="AF16" s="34">
        <f>'13'!B74</f>
        <v>0.48402321558840905</v>
      </c>
    </row>
    <row r="17" spans="1:32" x14ac:dyDescent="0.2">
      <c r="A17">
        <v>13</v>
      </c>
      <c r="B17" s="11">
        <f>'13'!C26</f>
        <v>1111484.8501277203</v>
      </c>
      <c r="J17">
        <v>13</v>
      </c>
      <c r="K17">
        <f>'13'!B32</f>
        <v>2.213528429225248</v>
      </c>
      <c r="T17">
        <v>14</v>
      </c>
      <c r="U17" s="34">
        <f>'14'!B50</f>
        <v>0.47651750081447869</v>
      </c>
      <c r="AE17">
        <v>14</v>
      </c>
      <c r="AF17" s="34">
        <f>'14'!B74</f>
        <v>0.71651223954739041</v>
      </c>
    </row>
    <row r="18" spans="1:32" x14ac:dyDescent="0.2">
      <c r="A18">
        <v>14</v>
      </c>
      <c r="B18" s="11">
        <f>'14'!C26</f>
        <v>1001442.0740414208</v>
      </c>
      <c r="J18">
        <v>14</v>
      </c>
      <c r="K18">
        <f>'14'!B32</f>
        <v>6.8433067316501575</v>
      </c>
      <c r="T18">
        <v>15</v>
      </c>
      <c r="U18" s="34">
        <f>'15'!B50</f>
        <v>0.38711265075467116</v>
      </c>
      <c r="AE18">
        <v>15</v>
      </c>
      <c r="AF18" s="34">
        <f>'15'!B74</f>
        <v>0.92374090209646675</v>
      </c>
    </row>
    <row r="19" spans="1:32" x14ac:dyDescent="0.2">
      <c r="A19">
        <v>15</v>
      </c>
      <c r="B19" s="11">
        <f>'15'!C26</f>
        <v>1141660.6836813632</v>
      </c>
      <c r="J19">
        <v>15</v>
      </c>
      <c r="K19">
        <f>'15'!B32</f>
        <v>11.174290603049883</v>
      </c>
    </row>
    <row r="22" spans="1:32" x14ac:dyDescent="0.2">
      <c r="B22" t="s">
        <v>15</v>
      </c>
      <c r="K22" s="20" t="s">
        <v>23</v>
      </c>
      <c r="U22" s="20" t="s">
        <v>34</v>
      </c>
      <c r="AF22" s="20" t="s">
        <v>46</v>
      </c>
    </row>
    <row r="23" spans="1:32" x14ac:dyDescent="0.2">
      <c r="A23">
        <v>1</v>
      </c>
      <c r="B23" s="19">
        <f>'1'!E2</f>
        <v>495600</v>
      </c>
      <c r="J23">
        <v>1</v>
      </c>
      <c r="K23">
        <f>'1'!B38</f>
        <v>2.6618543281462634</v>
      </c>
      <c r="T23">
        <v>1</v>
      </c>
      <c r="U23" s="34">
        <f>'1'!B56</f>
        <v>-3.6636436383035482</v>
      </c>
      <c r="AE23">
        <v>1</v>
      </c>
      <c r="AF23" s="34">
        <f>'1'!B80</f>
        <v>0</v>
      </c>
    </row>
    <row r="24" spans="1:32" x14ac:dyDescent="0.2">
      <c r="A24">
        <v>2</v>
      </c>
      <c r="B24" s="19">
        <f>'2'!E2</f>
        <v>520380</v>
      </c>
      <c r="J24">
        <v>2</v>
      </c>
      <c r="K24">
        <f>'2'!B38</f>
        <v>11.875220009050658</v>
      </c>
      <c r="T24">
        <v>2</v>
      </c>
      <c r="U24" s="34">
        <f>'2'!B56</f>
        <v>-0.26026683102528869</v>
      </c>
      <c r="AE24">
        <v>2</v>
      </c>
      <c r="AF24" s="34">
        <f>'2'!B80</f>
        <v>-0.57742044077109145</v>
      </c>
    </row>
    <row r="25" spans="1:32" x14ac:dyDescent="0.2">
      <c r="A25">
        <v>3</v>
      </c>
      <c r="B25" s="19">
        <f>'3'!E2</f>
        <v>546399</v>
      </c>
      <c r="J25">
        <v>3</v>
      </c>
      <c r="K25">
        <f>'3'!B38</f>
        <v>17.31510771497528</v>
      </c>
      <c r="T25">
        <v>3</v>
      </c>
      <c r="U25" s="35">
        <f>'3'!B56</f>
        <v>0.2822148068284337</v>
      </c>
      <c r="AE25">
        <v>3</v>
      </c>
      <c r="AF25" s="34">
        <f>'3'!B80</f>
        <v>0.62389582554467959</v>
      </c>
    </row>
    <row r="26" spans="1:32" x14ac:dyDescent="0.2">
      <c r="A26">
        <v>4</v>
      </c>
      <c r="B26" s="19">
        <f>'4'!E2</f>
        <v>580532.4</v>
      </c>
      <c r="J26">
        <v>4</v>
      </c>
      <c r="K26">
        <f>'4'!B38</f>
        <v>17.58918738307263</v>
      </c>
      <c r="T26">
        <v>4</v>
      </c>
      <c r="U26" s="34">
        <f>'4'!B56</f>
        <v>0.49104827692546404</v>
      </c>
      <c r="AE26">
        <v>4</v>
      </c>
      <c r="AF26" s="34">
        <f>'4'!B80</f>
        <v>0.51862798518111752</v>
      </c>
    </row>
    <row r="27" spans="1:32" x14ac:dyDescent="0.2">
      <c r="A27">
        <v>5</v>
      </c>
      <c r="B27" s="19">
        <f>'5'!E2</f>
        <v>617053.81499999994</v>
      </c>
      <c r="J27">
        <v>5</v>
      </c>
      <c r="K27">
        <f>'5'!B38</f>
        <v>19.544905513653045</v>
      </c>
      <c r="T27">
        <v>5</v>
      </c>
      <c r="U27" s="34">
        <f>'5'!B56</f>
        <v>0.61938576264188794</v>
      </c>
      <c r="AE27">
        <v>5</v>
      </c>
      <c r="AF27" s="34">
        <f>'5'!B80</f>
        <v>0.4913431476346859</v>
      </c>
    </row>
    <row r="28" spans="1:32" x14ac:dyDescent="0.2">
      <c r="A28">
        <v>6</v>
      </c>
      <c r="B28" s="19">
        <f>'6'!E2</f>
        <v>656150.78025000007</v>
      </c>
      <c r="J28">
        <v>6</v>
      </c>
      <c r="K28">
        <f>'6'!B38</f>
        <v>22.669894503360446</v>
      </c>
      <c r="T28">
        <v>6</v>
      </c>
      <c r="U28" s="34">
        <f>'6'!B56</f>
        <v>0.71265396291450545</v>
      </c>
      <c r="AE28">
        <v>6</v>
      </c>
      <c r="AF28" s="34">
        <f>'6'!B80</f>
        <v>0.49246744015928623</v>
      </c>
    </row>
    <row r="29" spans="1:32" x14ac:dyDescent="0.2">
      <c r="A29">
        <v>7</v>
      </c>
      <c r="B29" s="19">
        <f>'7'!E2</f>
        <v>716164.42511250009</v>
      </c>
      <c r="J29">
        <v>7</v>
      </c>
      <c r="K29">
        <f>'7'!B38</f>
        <v>12.235926148460784</v>
      </c>
      <c r="T29">
        <v>7</v>
      </c>
      <c r="U29" s="34">
        <f>'7'!B56</f>
        <v>0.368094679157705</v>
      </c>
      <c r="AE29">
        <v>7</v>
      </c>
      <c r="AF29" s="34">
        <f>'7'!B80</f>
        <v>0.62235598395103853</v>
      </c>
    </row>
    <row r="30" spans="1:32" x14ac:dyDescent="0.2">
      <c r="A30">
        <v>8</v>
      </c>
      <c r="B30" s="19">
        <f>'8'!E2</f>
        <v>784619.97338812519</v>
      </c>
      <c r="J30">
        <v>8</v>
      </c>
      <c r="K30">
        <f>'8'!B38</f>
        <v>14.042946038060224</v>
      </c>
      <c r="T30">
        <v>8</v>
      </c>
      <c r="U30" s="34">
        <f>'8'!B56</f>
        <v>0.49537208195721011</v>
      </c>
      <c r="AE30">
        <v>8</v>
      </c>
      <c r="AF30" s="34">
        <f>'8'!B80</f>
        <v>0.50921568345203294</v>
      </c>
    </row>
    <row r="31" spans="1:32" x14ac:dyDescent="0.2">
      <c r="A31">
        <v>9</v>
      </c>
      <c r="B31" s="19">
        <f>'9'!E2</f>
        <v>863027.76448153146</v>
      </c>
      <c r="J31">
        <v>9</v>
      </c>
      <c r="K31">
        <f>'9'!B38</f>
        <v>15.171276204816296</v>
      </c>
      <c r="T31">
        <v>9</v>
      </c>
      <c r="U31" s="34">
        <f>'9'!B56</f>
        <v>0.60833834552440225</v>
      </c>
      <c r="AE31">
        <v>9</v>
      </c>
      <c r="AF31" s="34">
        <f>'9'!B80</f>
        <v>0.45144536664195206</v>
      </c>
    </row>
    <row r="32" spans="1:32" x14ac:dyDescent="0.2">
      <c r="A32">
        <v>10</v>
      </c>
      <c r="B32" s="19">
        <f>'10'!E2</f>
        <v>953191.30361440801</v>
      </c>
      <c r="J32">
        <v>10</v>
      </c>
      <c r="K32">
        <f>'10'!B38</f>
        <v>0.16681409688516199</v>
      </c>
      <c r="T32">
        <v>10</v>
      </c>
      <c r="U32" s="34">
        <f>'10'!B56</f>
        <v>0.14706668844892451</v>
      </c>
      <c r="AE32">
        <v>10</v>
      </c>
      <c r="AF32" s="34">
        <f>'10'!B80</f>
        <v>0.76286496897683154</v>
      </c>
    </row>
    <row r="33" spans="1:32" x14ac:dyDescent="0.2">
      <c r="A33">
        <v>11</v>
      </c>
      <c r="B33">
        <f>'11'!E2</f>
        <v>1132484.8913397684</v>
      </c>
      <c r="J33">
        <v>11</v>
      </c>
      <c r="K33">
        <f>'11'!B38</f>
        <v>2.735034362959027</v>
      </c>
      <c r="T33">
        <v>11</v>
      </c>
      <c r="U33" s="34">
        <f>'11'!B56</f>
        <v>0.23100749788576869</v>
      </c>
      <c r="AE33">
        <v>11</v>
      </c>
      <c r="AF33" s="34">
        <f>'11'!B80</f>
        <v>0.54401068387950746</v>
      </c>
    </row>
    <row r="34" spans="1:32" x14ac:dyDescent="0.2">
      <c r="A34">
        <v>12</v>
      </c>
      <c r="B34">
        <f>'12'!E2</f>
        <v>1373396.7674692529</v>
      </c>
      <c r="J34">
        <v>12</v>
      </c>
      <c r="K34">
        <f>'12'!B38</f>
        <v>5.6963109374814591</v>
      </c>
      <c r="T34">
        <v>12</v>
      </c>
      <c r="U34" s="34">
        <f>'12'!B56</f>
        <v>0.32099898434653351</v>
      </c>
      <c r="AE34">
        <v>12</v>
      </c>
      <c r="AF34" s="34">
        <f>'12'!B80</f>
        <v>0.44880205439930237</v>
      </c>
    </row>
    <row r="35" spans="1:32" x14ac:dyDescent="0.2">
      <c r="A35">
        <v>13</v>
      </c>
      <c r="B35">
        <f>'13'!E2</f>
        <v>1700069.29003021</v>
      </c>
      <c r="J35">
        <v>13</v>
      </c>
      <c r="K35">
        <f>'13'!B38</f>
        <v>8.8840401672300242</v>
      </c>
      <c r="T35">
        <v>13</v>
      </c>
      <c r="U35" s="34">
        <f>'13'!B56</f>
        <v>0.41403988240428136</v>
      </c>
      <c r="AE35">
        <v>13</v>
      </c>
      <c r="AF35" s="34">
        <f>'13'!B80</f>
        <v>0.39975130604944953</v>
      </c>
    </row>
    <row r="36" spans="1:32" x14ac:dyDescent="0.2">
      <c r="A36">
        <v>14</v>
      </c>
      <c r="B36">
        <f>'14'!E2</f>
        <v>2146276.5123942127</v>
      </c>
      <c r="J36">
        <v>14</v>
      </c>
      <c r="K36">
        <f>'14'!B38</f>
        <v>18.427426972914656</v>
      </c>
      <c r="T36">
        <v>14</v>
      </c>
      <c r="U36" s="34">
        <f>'14'!B56</f>
        <v>0.52348249918552126</v>
      </c>
      <c r="AE36">
        <v>14</v>
      </c>
      <c r="AF36" s="34">
        <f>'14'!B80</f>
        <v>0.37378450598788199</v>
      </c>
    </row>
    <row r="37" spans="1:32" x14ac:dyDescent="0.2">
      <c r="A37">
        <v>15</v>
      </c>
      <c r="B37">
        <f>'15'!E2</f>
        <v>2759275.5990214124</v>
      </c>
      <c r="J37">
        <v>15</v>
      </c>
      <c r="K37">
        <f>'15'!B38</f>
        <v>26.791032755061842</v>
      </c>
      <c r="T37">
        <v>15</v>
      </c>
      <c r="U37" s="34">
        <f>'15'!B56</f>
        <v>0.61288734924532884</v>
      </c>
      <c r="AE37">
        <v>15</v>
      </c>
      <c r="AF37" s="34">
        <f>'15'!B80</f>
        <v>0.37000953071090881</v>
      </c>
    </row>
    <row r="40" spans="1:32" x14ac:dyDescent="0.2">
      <c r="B40" t="s">
        <v>28</v>
      </c>
      <c r="K40" s="20" t="s">
        <v>24</v>
      </c>
      <c r="U40" s="20" t="s">
        <v>35</v>
      </c>
    </row>
    <row r="41" spans="1:32" x14ac:dyDescent="0.2">
      <c r="A41">
        <v>1</v>
      </c>
      <c r="B41" s="19">
        <f>'1'!F20</f>
        <v>-329640.00000000006</v>
      </c>
      <c r="J41">
        <v>1</v>
      </c>
      <c r="K41" s="34">
        <f>'1'!B44</f>
        <v>-0.27295231161266831</v>
      </c>
      <c r="T41">
        <v>1</v>
      </c>
      <c r="U41" s="35">
        <f>'1'!B62</f>
        <v>1.1622276029055689E-2</v>
      </c>
    </row>
    <row r="42" spans="1:32" x14ac:dyDescent="0.2">
      <c r="A42">
        <v>2</v>
      </c>
      <c r="B42" s="19">
        <f>'2'!F20</f>
        <v>-85468.400000000081</v>
      </c>
      <c r="J42">
        <v>2</v>
      </c>
      <c r="K42" s="35">
        <f>'2'!B44</f>
        <v>-3.2647902476236794</v>
      </c>
      <c r="T42">
        <v>2</v>
      </c>
      <c r="U42" s="35">
        <f>'2'!B62</f>
        <v>2.5716591721434336E-2</v>
      </c>
    </row>
    <row r="43" spans="1:32" x14ac:dyDescent="0.2">
      <c r="A43">
        <v>3</v>
      </c>
      <c r="B43" s="19">
        <f>'3'!F20</f>
        <v>157455.99204199982</v>
      </c>
      <c r="J43">
        <v>3</v>
      </c>
      <c r="K43" s="35">
        <f>'3'!B44</f>
        <v>2.9195043639709901</v>
      </c>
      <c r="T43">
        <v>3</v>
      </c>
      <c r="U43" s="35">
        <f>'3'!B62</f>
        <v>2.7830211987942877E-2</v>
      </c>
    </row>
    <row r="44" spans="1:32" x14ac:dyDescent="0.2">
      <c r="A44">
        <v>4</v>
      </c>
      <c r="B44" s="19">
        <f>'4'!F20</f>
        <v>371714.61680696986</v>
      </c>
      <c r="J44">
        <v>4</v>
      </c>
      <c r="K44" s="35">
        <f>'4'!B44</f>
        <v>1.5178316604186355</v>
      </c>
      <c r="T44">
        <v>4</v>
      </c>
      <c r="U44" s="35">
        <f>'4'!B62</f>
        <v>2.9302757262126972E-2</v>
      </c>
    </row>
    <row r="45" spans="1:32" x14ac:dyDescent="0.2">
      <c r="A45">
        <v>5</v>
      </c>
      <c r="B45" s="19">
        <f>'5'!F20</f>
        <v>599274.80640416383</v>
      </c>
      <c r="J45">
        <v>5</v>
      </c>
      <c r="K45" s="35">
        <f>'5'!B44</f>
        <v>1.1231595747634926</v>
      </c>
      <c r="T45">
        <v>5</v>
      </c>
      <c r="U45" s="35">
        <f>'5'!B62</f>
        <v>3.0462172898161242E-2</v>
      </c>
    </row>
    <row r="46" spans="1:32" x14ac:dyDescent="0.2">
      <c r="A46">
        <v>6</v>
      </c>
      <c r="B46" s="19">
        <f>'6'!F20</f>
        <v>866702.34356785135</v>
      </c>
      <c r="J46">
        <v>6</v>
      </c>
      <c r="K46" s="34">
        <f>'6'!B44</f>
        <v>0.91073811546598482</v>
      </c>
      <c r="T46">
        <v>6</v>
      </c>
      <c r="U46" s="35">
        <f>'6'!B62</f>
        <v>3.1339138226986814E-2</v>
      </c>
    </row>
    <row r="47" spans="1:32" x14ac:dyDescent="0.2">
      <c r="A47">
        <v>7</v>
      </c>
      <c r="B47" s="19">
        <f>'7'!F20</f>
        <v>805038.82812156854</v>
      </c>
      <c r="J47">
        <v>7</v>
      </c>
      <c r="K47" s="34">
        <f>'7'!B44</f>
        <v>0.73539570446380731</v>
      </c>
      <c r="T47">
        <v>7</v>
      </c>
      <c r="U47" s="35">
        <f>'7'!B62</f>
        <v>0.24122169985316225</v>
      </c>
    </row>
    <row r="48" spans="1:32" x14ac:dyDescent="0.2">
      <c r="A48">
        <v>8</v>
      </c>
      <c r="B48" s="19">
        <f>'8'!F20</f>
        <v>1187069.6617049417</v>
      </c>
      <c r="J48">
        <v>8</v>
      </c>
      <c r="K48" s="34">
        <f>'8'!B44</f>
        <v>0.58787179482996732</v>
      </c>
      <c r="T48">
        <v>8</v>
      </c>
      <c r="U48" s="35">
        <f>'8'!B62</f>
        <v>0.22482527335910635</v>
      </c>
    </row>
    <row r="49" spans="1:21" x14ac:dyDescent="0.2">
      <c r="A49">
        <v>9</v>
      </c>
      <c r="B49" s="19">
        <f>'9'!F20</f>
        <v>1604243.2279176787</v>
      </c>
      <c r="J49">
        <v>9</v>
      </c>
      <c r="K49" s="34">
        <f>'9'!B44</f>
        <v>0.51043522668966101</v>
      </c>
      <c r="T49">
        <v>9</v>
      </c>
      <c r="U49" s="35">
        <f>'9'!B62</f>
        <v>0.20858193375521722</v>
      </c>
    </row>
    <row r="50" spans="1:21" x14ac:dyDescent="0.2">
      <c r="A50">
        <v>10</v>
      </c>
      <c r="B50" s="19">
        <f>'10'!F20</f>
        <v>1066146.0393065307</v>
      </c>
      <c r="J50">
        <v>10</v>
      </c>
      <c r="K50" s="34">
        <f>'10'!B44</f>
        <v>1.0932624308920971E-2</v>
      </c>
      <c r="T50">
        <v>10</v>
      </c>
      <c r="U50" s="35">
        <f>'10'!B62</f>
        <v>0.37900472088348047</v>
      </c>
    </row>
    <row r="51" spans="1:21" x14ac:dyDescent="0.2">
      <c r="A51">
        <v>11</v>
      </c>
      <c r="B51" s="19">
        <f>'11'!F20</f>
        <v>1748943.6721245898</v>
      </c>
      <c r="J51">
        <v>11</v>
      </c>
      <c r="K51" s="34">
        <f>'11'!B44</f>
        <v>0.11153636799145528</v>
      </c>
      <c r="T51">
        <v>11</v>
      </c>
      <c r="U51" s="35">
        <f>'11'!B62</f>
        <v>0.32212068060649579</v>
      </c>
    </row>
    <row r="52" spans="1:21" x14ac:dyDescent="0.2">
      <c r="A52">
        <v>12</v>
      </c>
      <c r="B52" s="19">
        <f>'12'!F20</f>
        <v>2579900.6763167996</v>
      </c>
      <c r="J52">
        <v>12</v>
      </c>
      <c r="K52" s="34">
        <f>'12'!B44</f>
        <v>0.17628986606534877</v>
      </c>
      <c r="T52">
        <v>12</v>
      </c>
      <c r="U52" s="35">
        <f>'12'!B62</f>
        <v>0.26816082045510187</v>
      </c>
    </row>
    <row r="53" spans="1:21" x14ac:dyDescent="0.2">
      <c r="A53">
        <v>13</v>
      </c>
      <c r="B53" s="19">
        <f>'13'!F20</f>
        <v>3595825.9270884059</v>
      </c>
      <c r="J53">
        <v>13</v>
      </c>
      <c r="K53" s="34">
        <f>'13'!B44</f>
        <v>0.22884116783423342</v>
      </c>
      <c r="T53">
        <v>13</v>
      </c>
      <c r="U53" s="35">
        <f>'13'!B62</f>
        <v>0.21866591329835366</v>
      </c>
    </row>
    <row r="54" spans="1:21" x14ac:dyDescent="0.2">
      <c r="A54">
        <v>14</v>
      </c>
      <c r="B54" s="19">
        <f>'14'!F20</f>
        <v>5182077.7951247878</v>
      </c>
      <c r="J54">
        <v>14</v>
      </c>
      <c r="K54" s="34">
        <f>'14'!B44</f>
        <v>0.29675999693217797</v>
      </c>
      <c r="T54">
        <v>14</v>
      </c>
      <c r="U54" s="35">
        <f>'14'!B62</f>
        <v>0.10470263392309094</v>
      </c>
    </row>
    <row r="55" spans="1:21" x14ac:dyDescent="0.2">
      <c r="A55">
        <v>15</v>
      </c>
      <c r="B55" s="19">
        <f>'15'!F20</f>
        <v>7112552.9183066543</v>
      </c>
      <c r="J55">
        <v>15</v>
      </c>
      <c r="K55" s="34">
        <f>'15'!B44</f>
        <v>0.35836017815943871</v>
      </c>
      <c r="T55">
        <v>15</v>
      </c>
      <c r="U55" s="35">
        <f>'15'!B62</f>
        <v>8.2666625999895091E-2</v>
      </c>
    </row>
    <row r="58" spans="1:21" x14ac:dyDescent="0.2">
      <c r="B58" t="s">
        <v>133</v>
      </c>
      <c r="U58" s="20" t="s">
        <v>36</v>
      </c>
    </row>
    <row r="59" spans="1:21" x14ac:dyDescent="0.2">
      <c r="A59">
        <v>1</v>
      </c>
      <c r="B59">
        <f>'1'!E101</f>
        <v>10160</v>
      </c>
      <c r="T59">
        <v>1</v>
      </c>
      <c r="U59" s="35">
        <f>'1'!B68</f>
        <v>1.1622276029055689E-2</v>
      </c>
    </row>
    <row r="60" spans="1:21" x14ac:dyDescent="0.2">
      <c r="A60">
        <v>2</v>
      </c>
      <c r="B60">
        <f>'2'!E101</f>
        <v>12638</v>
      </c>
      <c r="T60">
        <v>2</v>
      </c>
      <c r="U60" s="35">
        <f>'2'!B68</f>
        <v>2.5716591721434336E-2</v>
      </c>
    </row>
    <row r="61" spans="1:21" x14ac:dyDescent="0.2">
      <c r="A61">
        <v>3</v>
      </c>
      <c r="B61">
        <f>'3'!E101</f>
        <v>15239.900000000001</v>
      </c>
      <c r="T61">
        <v>3</v>
      </c>
      <c r="U61" s="35">
        <f>'3'!B68</f>
        <v>2.7830211987942877E-2</v>
      </c>
    </row>
    <row r="62" spans="1:21" x14ac:dyDescent="0.2">
      <c r="A62">
        <v>4</v>
      </c>
      <c r="B62">
        <f>'4'!E101</f>
        <v>18653.240000000005</v>
      </c>
      <c r="T62">
        <v>4</v>
      </c>
      <c r="U62" s="35">
        <f>'4'!B68</f>
        <v>2.9302757262126972E-2</v>
      </c>
    </row>
    <row r="63" spans="1:21" x14ac:dyDescent="0.2">
      <c r="A63">
        <v>5</v>
      </c>
      <c r="B63">
        <f>'5'!E101</f>
        <v>22305.381499999996</v>
      </c>
      <c r="T63">
        <v>5</v>
      </c>
      <c r="U63" s="35">
        <f>'5'!B68</f>
        <v>3.0462172898161239E-2</v>
      </c>
    </row>
    <row r="64" spans="1:21" x14ac:dyDescent="0.2">
      <c r="A64">
        <v>6</v>
      </c>
      <c r="B64">
        <f>'6'!E101</f>
        <v>23984.578025000006</v>
      </c>
      <c r="T64">
        <v>6</v>
      </c>
      <c r="U64" s="35">
        <f>'6'!B68</f>
        <v>3.1339138226986814E-2</v>
      </c>
    </row>
    <row r="65" spans="1:21" x14ac:dyDescent="0.2">
      <c r="A65">
        <v>7</v>
      </c>
      <c r="B65">
        <f>'7'!E101</f>
        <v>34574.663766875012</v>
      </c>
      <c r="T65">
        <v>7</v>
      </c>
      <c r="U65" s="35">
        <f>'7'!B68</f>
        <v>0.24122169985316225</v>
      </c>
    </row>
    <row r="66" spans="1:21" x14ac:dyDescent="0.2">
      <c r="A66">
        <v>8</v>
      </c>
      <c r="B66">
        <f>'8'!E101</f>
        <v>44842.996008218775</v>
      </c>
      <c r="T66">
        <v>8</v>
      </c>
      <c r="U66" s="35">
        <f>'8'!B68</f>
        <v>0.22482527335910635</v>
      </c>
    </row>
    <row r="67" spans="1:21" x14ac:dyDescent="0.2">
      <c r="A67">
        <v>9</v>
      </c>
      <c r="B67">
        <f>'9'!E101</f>
        <v>56604.164672229716</v>
      </c>
      <c r="T67">
        <v>9</v>
      </c>
      <c r="U67" s="35">
        <f>'9'!B68</f>
        <v>0.20858193375521719</v>
      </c>
    </row>
    <row r="68" spans="1:21" x14ac:dyDescent="0.2">
      <c r="A68">
        <v>10</v>
      </c>
      <c r="B68">
        <f>'10'!E101</f>
        <v>63732.033207165987</v>
      </c>
      <c r="T68">
        <v>10</v>
      </c>
      <c r="U68" s="35">
        <f>'10'!B68</f>
        <v>0.37900472088348047</v>
      </c>
    </row>
    <row r="69" spans="1:21" x14ac:dyDescent="0.2">
      <c r="A69">
        <v>11</v>
      </c>
      <c r="B69">
        <f>'11'!E101</f>
        <v>89601.060631172426</v>
      </c>
      <c r="T69">
        <v>11</v>
      </c>
      <c r="U69" s="35">
        <f>'11'!B68</f>
        <v>0.32212068060649579</v>
      </c>
    </row>
    <row r="70" spans="1:21" x14ac:dyDescent="0.2">
      <c r="A70">
        <v>12</v>
      </c>
      <c r="B70">
        <f>'12'!E101</f>
        <v>128346.35470461322</v>
      </c>
      <c r="T70">
        <v>12</v>
      </c>
      <c r="U70" s="35">
        <f>'12'!B68</f>
        <v>0.26816082045510187</v>
      </c>
    </row>
    <row r="71" spans="1:21" x14ac:dyDescent="0.2">
      <c r="A71">
        <v>13</v>
      </c>
      <c r="B71">
        <f>'13'!E101</f>
        <v>194259.64615278074</v>
      </c>
      <c r="T71">
        <v>13</v>
      </c>
      <c r="U71" s="35">
        <f>'13'!B68</f>
        <v>0.21866591329835369</v>
      </c>
    </row>
    <row r="72" spans="1:21" x14ac:dyDescent="0.2">
      <c r="A72">
        <v>14</v>
      </c>
      <c r="B72">
        <f>'14'!E101</f>
        <v>255243.2700664812</v>
      </c>
      <c r="T72">
        <v>14</v>
      </c>
      <c r="U72" s="35">
        <f>'14'!B68</f>
        <v>0.10470263392309094</v>
      </c>
    </row>
    <row r="73" spans="1:21" x14ac:dyDescent="0.2">
      <c r="A73">
        <v>15</v>
      </c>
      <c r="B73">
        <f>'15'!E101</f>
        <v>392082.67970642372</v>
      </c>
      <c r="T73">
        <v>15</v>
      </c>
      <c r="U73" s="35">
        <f>'15'!B68</f>
        <v>8.2666625999895091E-2</v>
      </c>
    </row>
    <row r="76" spans="1:21" x14ac:dyDescent="0.2">
      <c r="B76" t="s">
        <v>40</v>
      </c>
    </row>
    <row r="77" spans="1:21" x14ac:dyDescent="0.2">
      <c r="A77">
        <v>1</v>
      </c>
      <c r="B77" s="19">
        <f>'1'!I21</f>
        <v>89976</v>
      </c>
    </row>
    <row r="78" spans="1:21" x14ac:dyDescent="0.2">
      <c r="A78">
        <v>2</v>
      </c>
      <c r="B78" s="19">
        <f>'2'!I29</f>
        <v>328387.59999999998</v>
      </c>
    </row>
    <row r="79" spans="1:21" x14ac:dyDescent="0.2">
      <c r="A79">
        <v>3</v>
      </c>
      <c r="B79" s="19">
        <f>'3'!I29</f>
        <v>557929.59204199992</v>
      </c>
    </row>
    <row r="80" spans="1:21" x14ac:dyDescent="0.2">
      <c r="A80">
        <v>4</v>
      </c>
      <c r="B80" s="19">
        <f>'4'!I29</f>
        <v>756981.81680696993</v>
      </c>
    </row>
    <row r="81" spans="1:15" x14ac:dyDescent="0.2">
      <c r="A81">
        <v>5</v>
      </c>
      <c r="B81" s="19">
        <f>'5'!I29</f>
        <v>967530.80640416383</v>
      </c>
    </row>
    <row r="82" spans="1:15" x14ac:dyDescent="0.2">
      <c r="A82">
        <v>6</v>
      </c>
      <c r="B82" s="19">
        <f>'6'!I29</f>
        <v>1216161.5435678514</v>
      </c>
    </row>
    <row r="83" spans="1:15" x14ac:dyDescent="0.2">
      <c r="A83">
        <v>7</v>
      </c>
      <c r="B83" s="19">
        <f>'7'!I30</f>
        <v>2187042.8281215685</v>
      </c>
    </row>
    <row r="84" spans="1:15" x14ac:dyDescent="0.2">
      <c r="A84">
        <v>8</v>
      </c>
      <c r="B84" s="19">
        <f>'8'!I30</f>
        <v>2396319.2617049417</v>
      </c>
    </row>
    <row r="85" spans="1:15" x14ac:dyDescent="0.2">
      <c r="A85">
        <v>9</v>
      </c>
      <c r="B85" s="19">
        <f>'9'!I30</f>
        <v>2637090.4279176788</v>
      </c>
    </row>
    <row r="86" spans="1:15" x14ac:dyDescent="0.2">
      <c r="A86">
        <v>10</v>
      </c>
      <c r="B86" s="19">
        <f>'10'!I31</f>
        <v>7249405.358554719</v>
      </c>
    </row>
    <row r="87" spans="1:15" x14ac:dyDescent="0.2">
      <c r="A87">
        <v>11</v>
      </c>
      <c r="B87" s="19">
        <f>'11'!I31</f>
        <v>7570938.9873978384</v>
      </c>
    </row>
    <row r="88" spans="1:15" x14ac:dyDescent="0.2">
      <c r="A88">
        <v>12</v>
      </c>
      <c r="B88" s="19">
        <f>'12'!I31</f>
        <v>8037099.1876151087</v>
      </c>
    </row>
    <row r="89" spans="1:15" x14ac:dyDescent="0.2">
      <c r="A89">
        <v>13</v>
      </c>
      <c r="B89" s="19">
        <f>'13'!I31</f>
        <v>8684733.2344117761</v>
      </c>
    </row>
    <row r="90" spans="1:15" x14ac:dyDescent="0.2">
      <c r="A90">
        <v>14</v>
      </c>
      <c r="B90" s="19">
        <f>'14'!I31</f>
        <v>9899237.8984732181</v>
      </c>
    </row>
    <row r="91" spans="1:15" x14ac:dyDescent="0.2">
      <c r="A91">
        <v>15</v>
      </c>
      <c r="B91" s="19">
        <f>'15'!I31</f>
        <v>11604992.217680145</v>
      </c>
    </row>
    <row r="94" spans="1:15" x14ac:dyDescent="0.2">
      <c r="B94" t="s">
        <v>37</v>
      </c>
      <c r="N94" t="s">
        <v>15</v>
      </c>
    </row>
    <row r="95" spans="1:15" x14ac:dyDescent="0.2">
      <c r="A95">
        <v>1</v>
      </c>
      <c r="B95">
        <f>'1'!L21</f>
        <v>419616.00000000006</v>
      </c>
      <c r="M95">
        <v>1</v>
      </c>
      <c r="N95">
        <v>495600</v>
      </c>
    </row>
    <row r="96" spans="1:15" x14ac:dyDescent="0.2">
      <c r="A96">
        <v>2</v>
      </c>
      <c r="B96">
        <f>'2'!L21</f>
        <v>413856.00000000006</v>
      </c>
      <c r="M96">
        <v>2</v>
      </c>
      <c r="N96">
        <v>520380</v>
      </c>
      <c r="O96" s="33">
        <f>(N96-N95)/N95</f>
        <v>0.05</v>
      </c>
    </row>
    <row r="97" spans="1:15" x14ac:dyDescent="0.2">
      <c r="A97">
        <v>3</v>
      </c>
      <c r="B97">
        <f>'3'!L21</f>
        <v>400473.60000000009</v>
      </c>
      <c r="M97">
        <v>3</v>
      </c>
      <c r="N97">
        <v>546399</v>
      </c>
      <c r="O97" s="33">
        <f>(N97-N96)/N96</f>
        <v>0.05</v>
      </c>
    </row>
    <row r="98" spans="1:15" x14ac:dyDescent="0.2">
      <c r="A98">
        <v>4</v>
      </c>
      <c r="B98">
        <f>'4'!L21</f>
        <v>385267.20000000007</v>
      </c>
      <c r="M98">
        <v>4</v>
      </c>
      <c r="N98">
        <v>580532.4</v>
      </c>
      <c r="O98" s="33">
        <f>(N98-N97)/N97</f>
        <v>6.2469733656174378E-2</v>
      </c>
    </row>
    <row r="99" spans="1:15" x14ac:dyDescent="0.2">
      <c r="A99">
        <v>5</v>
      </c>
      <c r="B99">
        <f>'5'!L21</f>
        <v>368256.00000000006</v>
      </c>
      <c r="M99">
        <v>5</v>
      </c>
      <c r="N99">
        <v>617053.81499999994</v>
      </c>
      <c r="O99" s="33">
        <f>(N99-N98)/N98</f>
        <v>6.2910209662716363E-2</v>
      </c>
    </row>
    <row r="100" spans="1:15" x14ac:dyDescent="0.2">
      <c r="A100">
        <v>6</v>
      </c>
      <c r="B100">
        <f>'6'!L21</f>
        <v>349459.20000000007</v>
      </c>
      <c r="M100">
        <v>6</v>
      </c>
      <c r="N100">
        <v>656150.78025000007</v>
      </c>
      <c r="O100" s="33">
        <f>(N100-N99)/N99</f>
        <v>6.3360705824337421E-2</v>
      </c>
    </row>
    <row r="101" spans="1:15" x14ac:dyDescent="0.2">
      <c r="A101">
        <v>7</v>
      </c>
      <c r="B101">
        <f>'7'!L21</f>
        <v>1382004</v>
      </c>
      <c r="M101">
        <v>7</v>
      </c>
      <c r="N101">
        <v>716164.42511250009</v>
      </c>
      <c r="O101" s="33">
        <f>(N101-N100)/N100</f>
        <v>9.1463192102940447E-2</v>
      </c>
    </row>
    <row r="102" spans="1:15" x14ac:dyDescent="0.2">
      <c r="A102">
        <v>8</v>
      </c>
      <c r="B102" s="19">
        <f>'8'!L21</f>
        <v>1209249.6000000001</v>
      </c>
      <c r="M102">
        <v>8</v>
      </c>
      <c r="N102">
        <v>784619.97338812519</v>
      </c>
      <c r="O102" s="33">
        <f>(N102-N101)/N101</f>
        <v>9.5586356813062351E-2</v>
      </c>
    </row>
    <row r="103" spans="1:15" x14ac:dyDescent="0.2">
      <c r="A103">
        <v>9</v>
      </c>
      <c r="B103" s="19">
        <f>'9'!L21</f>
        <v>1032847.2000000001</v>
      </c>
      <c r="M103">
        <v>9</v>
      </c>
      <c r="N103">
        <v>863027.76448153146</v>
      </c>
      <c r="O103" s="33">
        <f>(N103-N102)/N102</f>
        <v>9.9930914012840918E-2</v>
      </c>
    </row>
    <row r="104" spans="1:15" x14ac:dyDescent="0.2">
      <c r="A104">
        <v>10</v>
      </c>
      <c r="B104" s="19">
        <f>'10'!L21</f>
        <v>6183259.3192481883</v>
      </c>
      <c r="M104">
        <v>10</v>
      </c>
      <c r="N104">
        <v>953191.30361440801</v>
      </c>
      <c r="O104" s="33">
        <f>(N104-N103)/N103</f>
        <v>0.10447350924688127</v>
      </c>
    </row>
    <row r="105" spans="1:15" x14ac:dyDescent="0.2">
      <c r="A105">
        <v>11</v>
      </c>
      <c r="B105" s="19">
        <f>'11'!L21</f>
        <v>5821995.3152732486</v>
      </c>
      <c r="M105">
        <v>11</v>
      </c>
      <c r="N105">
        <v>1132484.8913397684</v>
      </c>
      <c r="O105" s="33">
        <f>(N105-N104)/N104</f>
        <v>0.18809822020563627</v>
      </c>
    </row>
    <row r="106" spans="1:15" x14ac:dyDescent="0.2">
      <c r="A106">
        <v>12</v>
      </c>
      <c r="B106" s="19">
        <f>'12'!L21</f>
        <v>5457198.5112983091</v>
      </c>
      <c r="M106">
        <v>12</v>
      </c>
      <c r="N106">
        <v>1373396.7674692529</v>
      </c>
      <c r="O106" s="33">
        <f>(N106-N105)/N105</f>
        <v>0.21272855644411953</v>
      </c>
    </row>
    <row r="107" spans="1:15" x14ac:dyDescent="0.2">
      <c r="A107">
        <v>13</v>
      </c>
      <c r="B107" s="19">
        <f>'13'!L21</f>
        <v>5088907.3073233701</v>
      </c>
      <c r="M107">
        <v>13</v>
      </c>
      <c r="N107">
        <v>1700069.29003021</v>
      </c>
      <c r="O107" s="33">
        <f>(N107-N106)/N106</f>
        <v>0.23785735506201455</v>
      </c>
    </row>
    <row r="108" spans="1:15" x14ac:dyDescent="0.2">
      <c r="A108">
        <v>14</v>
      </c>
      <c r="B108" s="19">
        <f>'14'!L21</f>
        <v>4717160.1033484302</v>
      </c>
      <c r="M108">
        <v>14</v>
      </c>
      <c r="N108">
        <v>2146276.5123942127</v>
      </c>
      <c r="O108" s="33">
        <f>(N108-N107)/N107</f>
        <v>0.26246413895052101</v>
      </c>
    </row>
    <row r="109" spans="1:15" x14ac:dyDescent="0.2">
      <c r="A109">
        <v>15</v>
      </c>
      <c r="B109" s="19">
        <f>'15'!L21</f>
        <v>4492439.2993734907</v>
      </c>
      <c r="M109">
        <v>15</v>
      </c>
      <c r="N109">
        <v>2759275.5990214124</v>
      </c>
      <c r="O109" s="33">
        <f>(N109-N108)/N108</f>
        <v>0.28561049011498874</v>
      </c>
    </row>
    <row r="110" spans="1:15" x14ac:dyDescent="0.2">
      <c r="N110" t="s">
        <v>141</v>
      </c>
      <c r="O110" s="33">
        <f>AVERAGE(O96:O109)</f>
        <v>0.13335381300687379</v>
      </c>
    </row>
    <row r="115" spans="1:6" x14ac:dyDescent="0.2">
      <c r="C115" t="s">
        <v>86</v>
      </c>
    </row>
    <row r="116" spans="1:6" x14ac:dyDescent="0.2">
      <c r="A116">
        <v>2</v>
      </c>
      <c r="B116" t="s">
        <v>137</v>
      </c>
      <c r="C116">
        <v>77183.110202464071</v>
      </c>
    </row>
    <row r="117" spans="1:6" x14ac:dyDescent="0.2">
      <c r="A117">
        <v>3</v>
      </c>
      <c r="B117" t="s">
        <v>137</v>
      </c>
      <c r="C117">
        <v>71258.436140522099</v>
      </c>
    </row>
    <row r="118" spans="1:6" x14ac:dyDescent="0.2">
      <c r="A118">
        <v>4</v>
      </c>
      <c r="B118" t="s">
        <v>137</v>
      </c>
      <c r="C118">
        <v>133013.75575293211</v>
      </c>
    </row>
    <row r="119" spans="1:6" x14ac:dyDescent="0.2">
      <c r="A119">
        <v>5</v>
      </c>
      <c r="B119" t="s">
        <v>137</v>
      </c>
      <c r="C119">
        <v>133894.89595558259</v>
      </c>
    </row>
    <row r="120" spans="1:6" x14ac:dyDescent="0.2">
      <c r="A120">
        <v>6</v>
      </c>
      <c r="B120" t="s">
        <v>138</v>
      </c>
      <c r="C120">
        <v>165029.95559963933</v>
      </c>
      <c r="D120">
        <f>DATA!H142</f>
        <v>135053.90075836869</v>
      </c>
      <c r="E120">
        <f>DATA!I142</f>
        <v>29976.054841270638</v>
      </c>
    </row>
    <row r="121" spans="1:6" x14ac:dyDescent="0.2">
      <c r="A121">
        <v>7</v>
      </c>
      <c r="B121" t="s">
        <v>136</v>
      </c>
      <c r="C121">
        <v>122718.53738605283</v>
      </c>
    </row>
    <row r="122" spans="1:6" x14ac:dyDescent="0.2">
      <c r="A122">
        <v>8</v>
      </c>
      <c r="B122" t="s">
        <v>136</v>
      </c>
      <c r="C122">
        <v>155673.74411130272</v>
      </c>
    </row>
    <row r="123" spans="1:6" x14ac:dyDescent="0.2">
      <c r="A123">
        <v>9</v>
      </c>
      <c r="B123" t="s">
        <v>136</v>
      </c>
      <c r="C123">
        <v>162581.31288837027</v>
      </c>
    </row>
    <row r="124" spans="1:6" x14ac:dyDescent="0.2">
      <c r="A124">
        <v>10</v>
      </c>
      <c r="B124" t="s">
        <v>134</v>
      </c>
      <c r="C124">
        <v>50919.662341477211</v>
      </c>
    </row>
    <row r="125" spans="1:6" x14ac:dyDescent="0.2">
      <c r="A125">
        <v>11</v>
      </c>
      <c r="B125" t="s">
        <v>134</v>
      </c>
      <c r="C125">
        <v>104890.64083494314</v>
      </c>
    </row>
    <row r="126" spans="1:6" x14ac:dyDescent="0.2">
      <c r="A126">
        <v>12</v>
      </c>
      <c r="B126" t="s">
        <v>134</v>
      </c>
      <c r="C126">
        <v>169964.60331645704</v>
      </c>
    </row>
    <row r="127" spans="1:6" x14ac:dyDescent="0.2">
      <c r="A127">
        <v>13</v>
      </c>
      <c r="B127" t="s">
        <v>139</v>
      </c>
      <c r="C127">
        <v>234101.49389700126</v>
      </c>
      <c r="E127">
        <f>DATA!M135</f>
        <v>218545.4</v>
      </c>
      <c r="F127">
        <f>DATA!N135</f>
        <v>15556.093897001278</v>
      </c>
    </row>
    <row r="128" spans="1:6" x14ac:dyDescent="0.2">
      <c r="A128">
        <v>14</v>
      </c>
      <c r="B128" t="s">
        <v>139</v>
      </c>
      <c r="C128">
        <v>443889.64408162527</v>
      </c>
      <c r="E128">
        <f>DATA!M139</f>
        <v>212180</v>
      </c>
      <c r="F128">
        <f>DATA!N139</f>
        <v>231709.64408162524</v>
      </c>
    </row>
    <row r="129" spans="1:6" x14ac:dyDescent="0.2">
      <c r="A129">
        <v>15</v>
      </c>
      <c r="B129" t="s">
        <v>140</v>
      </c>
      <c r="C129">
        <v>606592.57495078037</v>
      </c>
      <c r="D129">
        <f>DATA!O142</f>
        <v>90092.574950780356</v>
      </c>
      <c r="E129">
        <f>DATA!M142</f>
        <v>206000</v>
      </c>
      <c r="F129">
        <f>DATA!N142</f>
        <v>310500</v>
      </c>
    </row>
    <row r="130" spans="1:6" x14ac:dyDescent="0.2">
      <c r="C130">
        <v>2631712.36745915</v>
      </c>
    </row>
    <row r="134" spans="1:6" x14ac:dyDescent="0.2">
      <c r="C134" t="s">
        <v>86</v>
      </c>
    </row>
    <row r="135" spans="1:6" x14ac:dyDescent="0.2">
      <c r="B135" t="s">
        <v>142</v>
      </c>
      <c r="C135">
        <f>C116+C117+C118+C119+D120+D129</f>
        <v>640496.67376064986</v>
      </c>
    </row>
    <row r="136" spans="1:6" x14ac:dyDescent="0.2">
      <c r="B136" t="s">
        <v>143</v>
      </c>
      <c r="C136">
        <f>C121+C122+C123</f>
        <v>440973.5943857258</v>
      </c>
    </row>
    <row r="137" spans="1:6" x14ac:dyDescent="0.2">
      <c r="B137" t="s">
        <v>145</v>
      </c>
      <c r="C137">
        <f>E120+C124+C125+C126+E127+E128+E129</f>
        <v>992476.3613341481</v>
      </c>
    </row>
    <row r="138" spans="1:6" x14ac:dyDescent="0.2">
      <c r="B138" t="s">
        <v>144</v>
      </c>
      <c r="C138">
        <f>F127+F128+F129</f>
        <v>557765.73797862651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BF7E-5BDA-48B8-9E4A-08294AA09456}">
  <dimension ref="A1:P107"/>
  <sheetViews>
    <sheetView topLeftCell="J1" workbookViewId="0">
      <selection activeCell="H33" sqref="H33"/>
    </sheetView>
  </sheetViews>
  <sheetFormatPr defaultRowHeight="14.25" x14ac:dyDescent="0.2"/>
  <cols>
    <col min="1" max="1" width="28.75" bestFit="1" customWidth="1"/>
    <col min="2" max="2" width="16.5" bestFit="1" customWidth="1"/>
    <col min="3" max="3" width="13.625" bestFit="1" customWidth="1"/>
    <col min="4" max="4" width="19" bestFit="1" customWidth="1"/>
    <col min="5" max="5" width="17.375" bestFit="1" customWidth="1"/>
    <col min="6" max="6" width="20.125" customWidth="1"/>
    <col min="7" max="7" width="21.375" customWidth="1"/>
    <col min="8" max="8" width="60.25" bestFit="1" customWidth="1"/>
    <col min="9" max="9" width="46.5" bestFit="1" customWidth="1"/>
    <col min="11" max="11" width="41.375" bestFit="1" customWidth="1"/>
    <col min="12" max="12" width="26.5" bestFit="1" customWidth="1"/>
    <col min="14" max="14" width="60.25" bestFit="1" customWidth="1"/>
    <col min="15" max="15" width="38.75" bestFit="1" customWidth="1"/>
    <col min="17" max="17" width="34.5" bestFit="1" customWidth="1"/>
    <col min="18" max="18" width="46.5" bestFit="1" customWidth="1"/>
    <col min="20" max="20" width="34.5" bestFit="1" customWidth="1"/>
    <col min="21" max="21" width="46.5" bestFit="1" customWidth="1"/>
  </cols>
  <sheetData>
    <row r="1" spans="1:12" ht="26.25" customHeight="1" x14ac:dyDescent="0.2">
      <c r="A1" s="1" t="s">
        <v>17</v>
      </c>
      <c r="B1" s="1" t="s">
        <v>13</v>
      </c>
      <c r="C1" s="1" t="s">
        <v>14</v>
      </c>
      <c r="D1" s="1" t="s">
        <v>12</v>
      </c>
      <c r="E1" s="1" t="s">
        <v>15</v>
      </c>
      <c r="F1" s="1" t="s">
        <v>16</v>
      </c>
    </row>
    <row r="2" spans="1:12" ht="26.25" customHeight="1" x14ac:dyDescent="0.2">
      <c r="A2" s="18">
        <f>DATA!D31</f>
        <v>1</v>
      </c>
      <c r="B2" s="11">
        <f>DATA!E31</f>
        <v>31000</v>
      </c>
      <c r="C2" s="11">
        <f>DATA!F31</f>
        <v>372000</v>
      </c>
      <c r="D2" s="11">
        <f>DATA!G31</f>
        <v>123600</v>
      </c>
      <c r="E2" s="11">
        <f>DATA!H31</f>
        <v>495600</v>
      </c>
      <c r="F2" s="11">
        <f>DATA!I31</f>
        <v>41300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F10</f>
        <v>89976</v>
      </c>
      <c r="K4" s="4" t="s">
        <v>62</v>
      </c>
      <c r="L4" s="4">
        <f>DATA!G3</f>
        <v>5760</v>
      </c>
    </row>
    <row r="5" spans="1:12" x14ac:dyDescent="0.2">
      <c r="H5" s="4" t="s">
        <v>50</v>
      </c>
      <c r="I5" s="4" t="s">
        <v>66</v>
      </c>
      <c r="K5" s="4"/>
      <c r="L5" s="4"/>
    </row>
    <row r="7" spans="1:12" x14ac:dyDescent="0.2">
      <c r="H7" s="4"/>
      <c r="I7" s="4" t="s">
        <v>51</v>
      </c>
      <c r="K7" s="25" t="s">
        <v>65</v>
      </c>
      <c r="L7" s="25">
        <f>SUM(L4:L5)</f>
        <v>5760</v>
      </c>
    </row>
    <row r="8" spans="1:12" x14ac:dyDescent="0.2">
      <c r="C8" s="2">
        <v>10</v>
      </c>
      <c r="H8" s="4" t="s">
        <v>52</v>
      </c>
      <c r="I8" s="4"/>
    </row>
    <row r="9" spans="1:12" x14ac:dyDescent="0.2">
      <c r="B9" t="s">
        <v>81</v>
      </c>
      <c r="C9">
        <v>12</v>
      </c>
      <c r="H9" s="4" t="s">
        <v>53</v>
      </c>
      <c r="I9" s="4"/>
      <c r="K9" s="4"/>
      <c r="L9" s="4" t="s">
        <v>63</v>
      </c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89976</v>
      </c>
      <c r="K10" s="4" t="s">
        <v>62</v>
      </c>
      <c r="L10" s="4">
        <f>DATA!G18-DATA!G3</f>
        <v>413856.00000000006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s="4"/>
      <c r="L11" s="4"/>
    </row>
    <row r="12" spans="1:12" x14ac:dyDescent="0.2">
      <c r="A12" t="s">
        <v>69</v>
      </c>
      <c r="B12">
        <v>2688</v>
      </c>
      <c r="C12">
        <f>B12*$C$9</f>
        <v>32256</v>
      </c>
      <c r="H12" s="4" t="s">
        <v>55</v>
      </c>
      <c r="I12" s="4"/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s="25" t="s">
        <v>64</v>
      </c>
      <c r="L13" s="25">
        <f>SUM(L10:L11)</f>
        <v>413856.00000000006</v>
      </c>
    </row>
    <row r="14" spans="1:12" x14ac:dyDescent="0.2">
      <c r="H14" s="4" t="s">
        <v>57</v>
      </c>
      <c r="I14" s="4"/>
    </row>
    <row r="15" spans="1:12" x14ac:dyDescent="0.2">
      <c r="A15" t="s">
        <v>80</v>
      </c>
      <c r="B15">
        <f>DATA!E55</f>
        <v>750</v>
      </c>
      <c r="C15">
        <f>B15*C9</f>
        <v>9000</v>
      </c>
      <c r="H15" s="4" t="s">
        <v>58</v>
      </c>
      <c r="I15" s="4"/>
    </row>
    <row r="17" spans="1:16" x14ac:dyDescent="0.2">
      <c r="A17" t="s">
        <v>62</v>
      </c>
      <c r="B17">
        <f>C17/C9</f>
        <v>480</v>
      </c>
      <c r="C17">
        <f>L7</f>
        <v>5760</v>
      </c>
      <c r="H17" s="4"/>
      <c r="I17" s="4" t="s">
        <v>59</v>
      </c>
    </row>
    <row r="18" spans="1:16" x14ac:dyDescent="0.2">
      <c r="H18" s="4" t="s">
        <v>60</v>
      </c>
      <c r="I18" s="4"/>
    </row>
    <row r="19" spans="1:16" x14ac:dyDescent="0.2">
      <c r="A19" t="s">
        <v>71</v>
      </c>
      <c r="B19">
        <v>2000</v>
      </c>
      <c r="C19">
        <f>B19*$C$9</f>
        <v>24000</v>
      </c>
    </row>
    <row r="20" spans="1:16" ht="15" thickBot="1" x14ac:dyDescent="0.25">
      <c r="A20" t="s">
        <v>72</v>
      </c>
      <c r="B20">
        <v>7000</v>
      </c>
      <c r="C20">
        <f>B20*$C$9</f>
        <v>84000</v>
      </c>
      <c r="E20" s="20" t="s">
        <v>28</v>
      </c>
      <c r="F20" s="19">
        <f>I21-L21</f>
        <v>-329640.00000000006</v>
      </c>
    </row>
    <row r="21" spans="1:16" ht="15.75" thickTop="1" thickBot="1" x14ac:dyDescent="0.25">
      <c r="A21" t="s">
        <v>82</v>
      </c>
      <c r="B21">
        <v>4000</v>
      </c>
      <c r="C21">
        <f>B21*C8</f>
        <v>40000</v>
      </c>
      <c r="H21" s="24" t="str">
        <f>A30</f>
        <v>สินทรัพย์สภาพคล่อง</v>
      </c>
      <c r="I21" s="26">
        <f>SUM(I4:I5)+SUM(I8:I9)+SUM(I12:I15)+SUM(I18)</f>
        <v>89976</v>
      </c>
      <c r="K21" s="23" t="s">
        <v>37</v>
      </c>
      <c r="L21" s="23">
        <f>L7+L13</f>
        <v>419616.00000000006</v>
      </c>
    </row>
    <row r="22" spans="1:16" ht="15" thickTop="1" x14ac:dyDescent="0.2">
      <c r="A22" t="s">
        <v>83</v>
      </c>
      <c r="B22">
        <v>2350</v>
      </c>
      <c r="C22">
        <f>B22*C9</f>
        <v>28200</v>
      </c>
    </row>
    <row r="24" spans="1:16" x14ac:dyDescent="0.2"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6" x14ac:dyDescent="0.2">
      <c r="A25" t="s">
        <v>133</v>
      </c>
      <c r="C25" s="8">
        <f>E101</f>
        <v>10160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1:16" x14ac:dyDescent="0.2">
      <c r="B26" s="4" t="s">
        <v>84</v>
      </c>
      <c r="C26" s="41">
        <f>SUM(C10:C25)</f>
        <v>405624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1:16" x14ac:dyDescent="0.2">
      <c r="B27" s="4" t="s">
        <v>85</v>
      </c>
      <c r="C27" s="41">
        <f>C26/C9</f>
        <v>33802</v>
      </c>
    </row>
    <row r="28" spans="1:16" x14ac:dyDescent="0.2">
      <c r="A28" s="20"/>
      <c r="B28" s="20" t="s">
        <v>19</v>
      </c>
      <c r="C28" s="20"/>
      <c r="E28" s="1" t="s">
        <v>18</v>
      </c>
      <c r="F28" t="s">
        <v>86</v>
      </c>
      <c r="H28" s="27"/>
      <c r="I28" s="27"/>
    </row>
    <row r="29" spans="1:16" x14ac:dyDescent="0.2">
      <c r="A29" s="20"/>
      <c r="B29" s="20" t="s">
        <v>22</v>
      </c>
      <c r="C29" s="20"/>
      <c r="E29" s="19">
        <f>F10</f>
        <v>89976</v>
      </c>
      <c r="F29">
        <v>0</v>
      </c>
      <c r="H29" s="30"/>
      <c r="I29" s="28"/>
      <c r="J29" s="29"/>
    </row>
    <row r="30" spans="1:16" x14ac:dyDescent="0.2">
      <c r="A30" s="20" t="s">
        <v>25</v>
      </c>
      <c r="B30" s="20">
        <f>I21</f>
        <v>89976</v>
      </c>
      <c r="C30" s="20"/>
      <c r="H30" s="30"/>
      <c r="I30" s="28"/>
      <c r="J30" s="29"/>
    </row>
    <row r="31" spans="1:16" x14ac:dyDescent="0.2">
      <c r="A31" s="20" t="s">
        <v>26</v>
      </c>
      <c r="B31" s="20">
        <f>L7</f>
        <v>5760</v>
      </c>
      <c r="C31" s="20"/>
      <c r="H31" s="30"/>
      <c r="I31" s="28"/>
      <c r="J31" s="29"/>
    </row>
    <row r="32" spans="1:16" x14ac:dyDescent="0.2">
      <c r="A32" s="20"/>
      <c r="B32" s="21">
        <f>B30/B31</f>
        <v>15.620833333333334</v>
      </c>
      <c r="C32" s="20" t="s">
        <v>87</v>
      </c>
      <c r="H32" s="30"/>
      <c r="I32" s="28"/>
      <c r="J32" s="29"/>
    </row>
    <row r="33" spans="1:11" x14ac:dyDescent="0.2">
      <c r="A33" s="20"/>
      <c r="B33" s="20"/>
      <c r="C33" s="20"/>
      <c r="D33" s="20"/>
      <c r="E33" s="20"/>
      <c r="F33" s="20"/>
      <c r="G33" s="20"/>
      <c r="H33" s="30"/>
      <c r="I33" s="28"/>
    </row>
    <row r="34" spans="1:11" x14ac:dyDescent="0.2">
      <c r="A34" s="20"/>
      <c r="B34" s="20" t="s">
        <v>20</v>
      </c>
      <c r="C34" s="20"/>
      <c r="H34" s="31"/>
      <c r="I34" s="28"/>
      <c r="J34" s="29"/>
    </row>
    <row r="35" spans="1:11" x14ac:dyDescent="0.2">
      <c r="A35" s="20"/>
      <c r="B35" s="20" t="s">
        <v>23</v>
      </c>
      <c r="C35" s="20"/>
      <c r="I35" s="20"/>
    </row>
    <row r="36" spans="1:11" x14ac:dyDescent="0.2">
      <c r="A36" s="20" t="s">
        <v>25</v>
      </c>
      <c r="B36" s="20">
        <f>B30</f>
        <v>89976</v>
      </c>
      <c r="C36" s="20"/>
      <c r="I36" s="20"/>
    </row>
    <row r="37" spans="1:11" x14ac:dyDescent="0.2">
      <c r="A37" s="20" t="s">
        <v>27</v>
      </c>
      <c r="B37" s="20">
        <f>C27</f>
        <v>33802</v>
      </c>
      <c r="C37" s="20"/>
      <c r="I37" s="20"/>
    </row>
    <row r="38" spans="1:11" x14ac:dyDescent="0.2">
      <c r="A38" s="20"/>
      <c r="B38" s="21">
        <f>B36/B37</f>
        <v>2.6618543281462634</v>
      </c>
      <c r="C38" s="20" t="s">
        <v>87</v>
      </c>
      <c r="I38" s="20"/>
    </row>
    <row r="39" spans="1:11" x14ac:dyDescent="0.2">
      <c r="I39" s="20"/>
      <c r="J39" s="20"/>
      <c r="K39" s="20"/>
    </row>
    <row r="40" spans="1:11" x14ac:dyDescent="0.2">
      <c r="A40" s="20"/>
      <c r="B40" s="20" t="s">
        <v>21</v>
      </c>
      <c r="I40" s="20"/>
      <c r="J40" s="20"/>
      <c r="K40" s="20"/>
    </row>
    <row r="41" spans="1:11" x14ac:dyDescent="0.2">
      <c r="A41" s="20"/>
      <c r="B41" s="20" t="s">
        <v>24</v>
      </c>
      <c r="I41" s="20"/>
      <c r="J41" s="20"/>
      <c r="K41" s="20"/>
    </row>
    <row r="42" spans="1:11" x14ac:dyDescent="0.2">
      <c r="A42" s="20" t="s">
        <v>25</v>
      </c>
      <c r="B42" s="20">
        <f>I21</f>
        <v>89976</v>
      </c>
      <c r="I42" s="20"/>
      <c r="J42" s="20"/>
      <c r="K42" s="20"/>
    </row>
    <row r="43" spans="1:11" x14ac:dyDescent="0.2">
      <c r="A43" s="20" t="s">
        <v>28</v>
      </c>
      <c r="B43" s="20">
        <f>F20</f>
        <v>-329640.00000000006</v>
      </c>
      <c r="I43" s="20"/>
      <c r="J43" s="20"/>
      <c r="K43" s="20"/>
    </row>
    <row r="44" spans="1:11" x14ac:dyDescent="0.2">
      <c r="A44" s="20"/>
      <c r="B44" s="32">
        <f>B42/B43</f>
        <v>-0.27295231161266831</v>
      </c>
      <c r="I44" s="20"/>
      <c r="J44" s="20"/>
      <c r="K44" s="20"/>
    </row>
    <row r="45" spans="1:11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 x14ac:dyDescent="0.2">
      <c r="A46" s="20"/>
      <c r="B46" s="20" t="s">
        <v>29</v>
      </c>
      <c r="C46" s="20"/>
      <c r="D46" s="20"/>
      <c r="E46" s="20"/>
      <c r="F46" s="20"/>
      <c r="G46" s="20"/>
      <c r="H46" s="20"/>
      <c r="I46" s="20"/>
      <c r="J46" s="20"/>
      <c r="K46" s="20"/>
    </row>
    <row r="47" spans="1:11" x14ac:dyDescent="0.2">
      <c r="A47" s="20"/>
      <c r="B47" s="20" t="s">
        <v>33</v>
      </c>
      <c r="C47" s="20"/>
    </row>
    <row r="48" spans="1:11" x14ac:dyDescent="0.2">
      <c r="A48" s="20" t="s">
        <v>37</v>
      </c>
      <c r="B48" s="20">
        <f>L21</f>
        <v>419616.00000000006</v>
      </c>
      <c r="C48" s="20"/>
    </row>
    <row r="49" spans="1:8" x14ac:dyDescent="0.2">
      <c r="A49" s="20" t="s">
        <v>40</v>
      </c>
      <c r="B49" s="20">
        <f>I21</f>
        <v>89976</v>
      </c>
      <c r="C49" s="20"/>
    </row>
    <row r="50" spans="1:8" x14ac:dyDescent="0.2">
      <c r="A50" s="20"/>
      <c r="B50" s="32">
        <f>B48/B49</f>
        <v>4.6636436383035482</v>
      </c>
      <c r="C50" s="20"/>
    </row>
    <row r="51" spans="1:8" x14ac:dyDescent="0.2">
      <c r="A51" s="20"/>
      <c r="B51" s="20"/>
      <c r="C51" s="20"/>
    </row>
    <row r="52" spans="1:8" x14ac:dyDescent="0.2">
      <c r="A52" s="20"/>
      <c r="B52" s="20" t="s">
        <v>30</v>
      </c>
      <c r="C52" s="20"/>
    </row>
    <row r="53" spans="1:8" x14ac:dyDescent="0.2">
      <c r="A53" s="20"/>
      <c r="B53" s="20" t="s">
        <v>34</v>
      </c>
      <c r="C53" s="20"/>
    </row>
    <row r="54" spans="1:8" x14ac:dyDescent="0.2">
      <c r="A54" s="20" t="s">
        <v>28</v>
      </c>
      <c r="B54" s="20">
        <f>B43</f>
        <v>-329640.00000000006</v>
      </c>
      <c r="C54" s="20"/>
      <c r="D54" s="20"/>
      <c r="E54" s="20"/>
      <c r="F54" s="20"/>
    </row>
    <row r="55" spans="1:8" x14ac:dyDescent="0.2">
      <c r="A55" s="20" t="s">
        <v>40</v>
      </c>
      <c r="B55" s="20">
        <f>B49</f>
        <v>89976</v>
      </c>
      <c r="C55" s="20"/>
    </row>
    <row r="56" spans="1:8" x14ac:dyDescent="0.2">
      <c r="A56" s="20"/>
      <c r="B56" s="32">
        <f>B54/B55</f>
        <v>-3.6636436383035482</v>
      </c>
      <c r="C56" s="20"/>
    </row>
    <row r="58" spans="1:8" x14ac:dyDescent="0.2">
      <c r="A58" s="20"/>
      <c r="B58" s="20" t="s">
        <v>31</v>
      </c>
      <c r="G58" s="20"/>
      <c r="H58" s="20"/>
    </row>
    <row r="59" spans="1:8" x14ac:dyDescent="0.2">
      <c r="A59" s="20"/>
      <c r="B59" s="20" t="s">
        <v>35</v>
      </c>
      <c r="G59" s="20"/>
      <c r="H59" s="20"/>
    </row>
    <row r="60" spans="1:8" x14ac:dyDescent="0.2">
      <c r="A60" s="20" t="s">
        <v>38</v>
      </c>
      <c r="B60" s="20">
        <f>L7</f>
        <v>5760</v>
      </c>
    </row>
    <row r="61" spans="1:8" x14ac:dyDescent="0.2">
      <c r="A61" s="20" t="s">
        <v>41</v>
      </c>
      <c r="B61" s="20">
        <f>E2</f>
        <v>495600</v>
      </c>
      <c r="F61" s="20"/>
    </row>
    <row r="62" spans="1:8" x14ac:dyDescent="0.2">
      <c r="A62" s="20"/>
      <c r="B62" s="33">
        <f>B60/B61</f>
        <v>1.1622276029055689E-2</v>
      </c>
      <c r="F62" s="20"/>
    </row>
    <row r="63" spans="1:8" x14ac:dyDescent="0.2">
      <c r="F63" s="20"/>
    </row>
    <row r="64" spans="1:8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480</v>
      </c>
    </row>
    <row r="67" spans="1:6" x14ac:dyDescent="0.2">
      <c r="A67" s="20" t="s">
        <v>42</v>
      </c>
      <c r="B67" s="20">
        <f>B61/12</f>
        <v>41300</v>
      </c>
    </row>
    <row r="68" spans="1:6" x14ac:dyDescent="0.2">
      <c r="A68" s="20"/>
      <c r="B68" s="33">
        <f>B66/B67</f>
        <v>1.1622276029055689E-2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E29</f>
        <v>89976</v>
      </c>
    </row>
    <row r="73" spans="1:6" x14ac:dyDescent="0.2">
      <c r="A73" s="20" t="s">
        <v>15</v>
      </c>
      <c r="B73" s="20">
        <f>E2</f>
        <v>495600</v>
      </c>
    </row>
    <row r="74" spans="1:6" x14ac:dyDescent="0.2">
      <c r="A74" s="20"/>
      <c r="B74" s="32">
        <f>B72/B73</f>
        <v>0.18154963680387409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F29</f>
        <v>0</v>
      </c>
      <c r="C78" s="20"/>
    </row>
    <row r="79" spans="1:6" x14ac:dyDescent="0.2">
      <c r="A79" s="20" t="s">
        <v>28</v>
      </c>
      <c r="B79" s="20">
        <f>B43</f>
        <v>-329640.00000000006</v>
      </c>
      <c r="C79" s="20"/>
    </row>
    <row r="80" spans="1:6" x14ac:dyDescent="0.2">
      <c r="A80" s="20"/>
      <c r="B80" s="32">
        <f>B78/B79</f>
        <v>0</v>
      </c>
      <c r="C80" s="20"/>
    </row>
    <row r="90" spans="1:5" ht="15" thickBot="1" x14ac:dyDescent="0.25">
      <c r="A90" s="43">
        <f>A91-B107</f>
        <v>326600</v>
      </c>
    </row>
    <row r="91" spans="1:5" ht="21" thickTop="1" thickBot="1" x14ac:dyDescent="0.25">
      <c r="A91" s="44">
        <f>E2</f>
        <v>495600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26600</v>
      </c>
      <c r="D95" s="46">
        <v>0.1</v>
      </c>
      <c r="E95" s="47">
        <f t="shared" si="0"/>
        <v>2660</v>
      </c>
    </row>
    <row r="96" spans="1:5" x14ac:dyDescent="0.2">
      <c r="B96" s="45" t="s">
        <v>128</v>
      </c>
      <c r="C96" s="7">
        <f>IF((A90-C93-C94-C95)&gt;=250000,250000,(A90-C93-C94-C95))</f>
        <v>0</v>
      </c>
      <c r="D96" s="46">
        <v>0.15</v>
      </c>
      <c r="E96" s="47">
        <f t="shared" si="0"/>
        <v>0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0</v>
      </c>
      <c r="D97" s="46">
        <v>0.2</v>
      </c>
      <c r="E97" s="47">
        <f t="shared" si="0"/>
        <v>0</v>
      </c>
    </row>
    <row r="98" spans="1:5" x14ac:dyDescent="0.2">
      <c r="B98" s="45" t="s">
        <v>130</v>
      </c>
      <c r="C98" s="7">
        <f>IF((A90-C93-C94-C95-C96-C97)&gt;=1000000,1000000,(A90-C93-C94-C95-C96-C97))</f>
        <v>0</v>
      </c>
      <c r="D98" s="46">
        <v>0.25</v>
      </c>
      <c r="E98" s="47">
        <f t="shared" si="0"/>
        <v>0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10160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B107" s="42">
        <f>SUM(B104:B106)</f>
        <v>169000</v>
      </c>
    </row>
  </sheetData>
  <mergeCells count="1">
    <mergeCell ref="A103:B103"/>
  </mergeCells>
  <conditionalFormatting sqref="B32">
    <cfRule type="cellIs" dxfId="284" priority="18" operator="greaterThan">
      <formula>0.9999999999</formula>
    </cfRule>
    <cfRule type="cellIs" dxfId="283" priority="19" operator="lessThan">
      <formula>1</formula>
    </cfRule>
  </conditionalFormatting>
  <conditionalFormatting sqref="B38">
    <cfRule type="cellIs" dxfId="282" priority="16" operator="greaterThan">
      <formula>5.9999</formula>
    </cfRule>
    <cfRule type="cellIs" dxfId="281" priority="17" operator="lessThan">
      <formula>3</formula>
    </cfRule>
  </conditionalFormatting>
  <conditionalFormatting sqref="B44">
    <cfRule type="cellIs" dxfId="280" priority="13" operator="greaterThan">
      <formula>0.29</formula>
    </cfRule>
    <cfRule type="cellIs" dxfId="279" priority="14" operator="lessThan">
      <formula>0.05</formula>
    </cfRule>
    <cfRule type="cellIs" dxfId="278" priority="15" operator="greaterThan">
      <formula>0.049</formula>
    </cfRule>
  </conditionalFormatting>
  <conditionalFormatting sqref="B50">
    <cfRule type="cellIs" dxfId="277" priority="11" operator="greaterThan">
      <formula>0.49</formula>
    </cfRule>
    <cfRule type="cellIs" dxfId="276" priority="12" operator="lessThan">
      <formula>0.41</formula>
    </cfRule>
  </conditionalFormatting>
  <conditionalFormatting sqref="B56">
    <cfRule type="cellIs" dxfId="275" priority="9" operator="lessThan">
      <formula>0.41</formula>
    </cfRule>
    <cfRule type="cellIs" dxfId="274" priority="10" operator="greaterThan">
      <formula>0.59</formula>
    </cfRule>
  </conditionalFormatting>
  <conditionalFormatting sqref="B62">
    <cfRule type="cellIs" dxfId="273" priority="7" operator="greaterThan">
      <formula>0.39</formula>
    </cfRule>
    <cfRule type="cellIs" dxfId="272" priority="8" operator="lessThan">
      <formula>0.281</formula>
    </cfRule>
  </conditionalFormatting>
  <conditionalFormatting sqref="B68">
    <cfRule type="cellIs" dxfId="271" priority="5" operator="greaterThan">
      <formula>0.39</formula>
    </cfRule>
    <cfRule type="cellIs" dxfId="270" priority="6" operator="lessThan">
      <formula>0.281</formula>
    </cfRule>
  </conditionalFormatting>
  <conditionalFormatting sqref="B74">
    <cfRule type="cellIs" dxfId="269" priority="3" operator="lessThan">
      <formula>0.1</formula>
    </cfRule>
    <cfRule type="cellIs" dxfId="268" priority="4" operator="greaterThan">
      <formula>0.19</formula>
    </cfRule>
  </conditionalFormatting>
  <conditionalFormatting sqref="B80">
    <cfRule type="cellIs" dxfId="267" priority="1" operator="lessThan">
      <formula>0.3</formula>
    </cfRule>
    <cfRule type="cellIs" dxfId="266" priority="2" operator="greaterThan">
      <formula>0.49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FABA-B6A9-4EDF-97A7-484155925A88}">
  <dimension ref="A1:L107"/>
  <sheetViews>
    <sheetView topLeftCell="B21" workbookViewId="0">
      <selection activeCell="G53" sqref="G53"/>
    </sheetView>
  </sheetViews>
  <sheetFormatPr defaultRowHeight="14.25" x14ac:dyDescent="0.2"/>
  <cols>
    <col min="1" max="1" width="28.75" bestFit="1" customWidth="1"/>
    <col min="2" max="2" width="27.75" customWidth="1"/>
    <col min="3" max="3" width="13.75" bestFit="1" customWidth="1"/>
    <col min="4" max="4" width="19.125" bestFit="1" customWidth="1"/>
    <col min="5" max="5" width="17.375" bestFit="1" customWidth="1"/>
    <col min="6" max="6" width="18.5" bestFit="1" customWidth="1"/>
    <col min="7" max="7" width="12" customWidth="1"/>
    <col min="8" max="8" width="60.25" bestFit="1" customWidth="1"/>
    <col min="9" max="9" width="46.5" bestFit="1" customWidth="1"/>
    <col min="11" max="11" width="17.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 s="18">
        <f>DATA!D32</f>
        <v>2</v>
      </c>
      <c r="B2" s="11">
        <f>DATA!E32</f>
        <v>32550</v>
      </c>
      <c r="C2" s="11">
        <f>DATA!F32</f>
        <v>390600</v>
      </c>
      <c r="D2" s="11">
        <f>DATA!G32</f>
        <v>129780</v>
      </c>
      <c r="E2" s="11">
        <f>DATA!H32</f>
        <v>520380</v>
      </c>
      <c r="F2" s="11">
        <f>DATA!I32</f>
        <v>43365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'1'!I4+F10</f>
        <v>328387.59999999998</v>
      </c>
      <c r="K4" s="4" t="s">
        <v>62</v>
      </c>
      <c r="L4" s="4">
        <f>DATA!G4</f>
        <v>13382.4</v>
      </c>
    </row>
    <row r="5" spans="1:12" x14ac:dyDescent="0.2">
      <c r="H5" s="4" t="s">
        <v>50</v>
      </c>
      <c r="I5" s="4" t="s">
        <v>66</v>
      </c>
      <c r="K5" s="4"/>
      <c r="L5" s="4"/>
    </row>
    <row r="7" spans="1:12" x14ac:dyDescent="0.2">
      <c r="H7" s="4"/>
      <c r="I7" s="4" t="s">
        <v>51</v>
      </c>
      <c r="K7" s="25" t="s">
        <v>65</v>
      </c>
      <c r="L7" s="25">
        <f>SUM(L4:L5)</f>
        <v>13382.4</v>
      </c>
    </row>
    <row r="8" spans="1:12" x14ac:dyDescent="0.2">
      <c r="C8" s="2">
        <v>10</v>
      </c>
      <c r="H8" s="4" t="s">
        <v>52</v>
      </c>
      <c r="I8" s="4"/>
    </row>
    <row r="9" spans="1:12" x14ac:dyDescent="0.2">
      <c r="B9" t="s">
        <v>81</v>
      </c>
      <c r="C9">
        <v>12</v>
      </c>
      <c r="H9" s="4" t="s">
        <v>53</v>
      </c>
      <c r="I9" s="4"/>
      <c r="K9" s="4"/>
      <c r="L9" s="4" t="s">
        <v>63</v>
      </c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238411.59999999998</v>
      </c>
      <c r="K10" s="4" t="s">
        <v>62</v>
      </c>
      <c r="L10" s="4">
        <f>DATA!G18-SUM(DATA!G3:G4)</f>
        <v>400473.60000000003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s="4"/>
      <c r="L11" s="4"/>
    </row>
    <row r="12" spans="1:12" x14ac:dyDescent="0.2">
      <c r="A12" t="s">
        <v>69</v>
      </c>
      <c r="B12">
        <v>1750</v>
      </c>
      <c r="C12">
        <f>B12*$C$9</f>
        <v>21000</v>
      </c>
      <c r="H12" s="4" t="s">
        <v>55</v>
      </c>
      <c r="I12" s="4"/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s="25" t="s">
        <v>64</v>
      </c>
      <c r="L13" s="25">
        <f>SUM(L10:L11)</f>
        <v>400473.60000000003</v>
      </c>
    </row>
    <row r="14" spans="1:12" x14ac:dyDescent="0.2">
      <c r="H14" s="4" t="s">
        <v>57</v>
      </c>
      <c r="I14" s="4"/>
    </row>
    <row r="15" spans="1:12" x14ac:dyDescent="0.2">
      <c r="A15" t="s">
        <v>80</v>
      </c>
      <c r="B15">
        <f>DATA!C61</f>
        <v>875</v>
      </c>
      <c r="C15">
        <f>B15*C9</f>
        <v>10500</v>
      </c>
      <c r="H15" s="4" t="s">
        <v>58</v>
      </c>
      <c r="I15" s="4"/>
    </row>
    <row r="17" spans="1:12" x14ac:dyDescent="0.2">
      <c r="A17" t="s">
        <v>62</v>
      </c>
      <c r="B17">
        <f>C17/C9</f>
        <v>1115.2</v>
      </c>
      <c r="C17">
        <f>L7</f>
        <v>13382.4</v>
      </c>
      <c r="H17" s="4"/>
      <c r="I17" s="4" t="s">
        <v>59</v>
      </c>
    </row>
    <row r="18" spans="1:12" x14ac:dyDescent="0.2"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2000</v>
      </c>
      <c r="C20">
        <f>B20*$C$9</f>
        <v>24000</v>
      </c>
      <c r="E20" s="20" t="s">
        <v>28</v>
      </c>
      <c r="F20" s="19">
        <f>I29-L21</f>
        <v>-85468.400000000081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(SUM(I4:I5)+SUM(I8:I9)+SUM(I12:I15)+SUM(I18))-G29</f>
        <v>279036.39879999997</v>
      </c>
      <c r="K21" s="23" t="s">
        <v>37</v>
      </c>
      <c r="L21" s="23">
        <f>L7+L13</f>
        <v>413856.00000000006</v>
      </c>
    </row>
    <row r="22" spans="1:12" ht="15" thickTop="1" x14ac:dyDescent="0.2">
      <c r="A22" t="s">
        <v>83</v>
      </c>
      <c r="B22">
        <v>350</v>
      </c>
      <c r="C22">
        <f>B22*C9</f>
        <v>4200</v>
      </c>
    </row>
    <row r="24" spans="1:12" x14ac:dyDescent="0.2">
      <c r="F24" s="20"/>
    </row>
    <row r="25" spans="1:12" x14ac:dyDescent="0.2">
      <c r="A25" t="s">
        <v>133</v>
      </c>
      <c r="C25" s="8">
        <f>E101</f>
        <v>12638</v>
      </c>
      <c r="F25" s="20"/>
    </row>
    <row r="26" spans="1:12" x14ac:dyDescent="0.2">
      <c r="B26" s="4" t="s">
        <v>84</v>
      </c>
      <c r="C26" s="41">
        <f>SUM(C10:C25)</f>
        <v>281968.40000000002</v>
      </c>
    </row>
    <row r="27" spans="1:12" x14ac:dyDescent="0.2">
      <c r="B27" s="4" t="s">
        <v>85</v>
      </c>
      <c r="C27" s="41">
        <f>C26/C9</f>
        <v>23497.366666666669</v>
      </c>
      <c r="G27" s="22">
        <v>0.2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279036.39879999997</v>
      </c>
      <c r="E29">
        <v>2</v>
      </c>
      <c r="F29" t="s">
        <v>137</v>
      </c>
      <c r="G29">
        <f>DATA!B151</f>
        <v>49351.201199999996</v>
      </c>
      <c r="I29" s="19">
        <f>I21+G29</f>
        <v>328387.59999999998</v>
      </c>
    </row>
    <row r="30" spans="1:12" x14ac:dyDescent="0.2">
      <c r="A30" s="20" t="s">
        <v>25</v>
      </c>
      <c r="B30" s="20">
        <f>I21</f>
        <v>279036.39879999997</v>
      </c>
      <c r="C30" s="20"/>
      <c r="E30">
        <v>3</v>
      </c>
    </row>
    <row r="31" spans="1:12" x14ac:dyDescent="0.2">
      <c r="A31" s="20" t="s">
        <v>26</v>
      </c>
      <c r="B31" s="20">
        <f>L7</f>
        <v>13382.4</v>
      </c>
      <c r="C31" s="20"/>
      <c r="E31">
        <v>4</v>
      </c>
    </row>
    <row r="32" spans="1:12" x14ac:dyDescent="0.2">
      <c r="A32" s="20"/>
      <c r="B32" s="21">
        <f>B30/B31</f>
        <v>20.850998236489716</v>
      </c>
      <c r="C32" s="20" t="s">
        <v>87</v>
      </c>
      <c r="E32">
        <v>5</v>
      </c>
    </row>
    <row r="33" spans="1:6" x14ac:dyDescent="0.2">
      <c r="A33" s="20"/>
      <c r="B33" s="20"/>
      <c r="C33" s="20"/>
      <c r="D33" s="20"/>
      <c r="E33">
        <v>6</v>
      </c>
      <c r="F33" s="20"/>
    </row>
    <row r="34" spans="1:6" x14ac:dyDescent="0.2">
      <c r="A34" s="20"/>
      <c r="B34" s="20" t="s">
        <v>20</v>
      </c>
      <c r="C34" s="20"/>
      <c r="E34">
        <v>7</v>
      </c>
    </row>
    <row r="35" spans="1:6" x14ac:dyDescent="0.2">
      <c r="A35" s="20"/>
      <c r="B35" s="20" t="s">
        <v>23</v>
      </c>
      <c r="C35" s="20"/>
      <c r="E35">
        <v>8</v>
      </c>
    </row>
    <row r="36" spans="1:6" x14ac:dyDescent="0.2">
      <c r="A36" s="20" t="s">
        <v>25</v>
      </c>
      <c r="B36" s="20">
        <f>B30</f>
        <v>279036.39879999997</v>
      </c>
      <c r="C36" s="20"/>
      <c r="E36">
        <v>9</v>
      </c>
    </row>
    <row r="37" spans="1:6" x14ac:dyDescent="0.2">
      <c r="A37" s="20" t="s">
        <v>27</v>
      </c>
      <c r="B37" s="20">
        <f>C27</f>
        <v>23497.366666666669</v>
      </c>
      <c r="C37" s="20"/>
      <c r="E37">
        <v>10</v>
      </c>
    </row>
    <row r="38" spans="1:6" x14ac:dyDescent="0.2">
      <c r="A38" s="20"/>
      <c r="B38" s="21">
        <f>B36/B37</f>
        <v>11.875220009050658</v>
      </c>
      <c r="C38" s="20" t="s">
        <v>87</v>
      </c>
      <c r="E38">
        <v>11</v>
      </c>
    </row>
    <row r="39" spans="1:6" x14ac:dyDescent="0.2">
      <c r="E39">
        <v>12</v>
      </c>
    </row>
    <row r="40" spans="1:6" x14ac:dyDescent="0.2">
      <c r="A40" s="20"/>
      <c r="B40" s="20" t="s">
        <v>21</v>
      </c>
      <c r="E40">
        <v>13</v>
      </c>
    </row>
    <row r="41" spans="1:6" x14ac:dyDescent="0.2">
      <c r="A41" s="20"/>
      <c r="B41" s="20" t="s">
        <v>24</v>
      </c>
      <c r="E41">
        <v>14</v>
      </c>
    </row>
    <row r="42" spans="1:6" x14ac:dyDescent="0.2">
      <c r="A42" s="20" t="s">
        <v>25</v>
      </c>
      <c r="B42" s="20">
        <f>B30</f>
        <v>279036.39879999997</v>
      </c>
      <c r="E42">
        <v>15</v>
      </c>
    </row>
    <row r="43" spans="1:6" x14ac:dyDescent="0.2">
      <c r="A43" s="20" t="s">
        <v>28</v>
      </c>
      <c r="B43" s="20">
        <f>F20</f>
        <v>-85468.400000000081</v>
      </c>
    </row>
    <row r="44" spans="1:6" x14ac:dyDescent="0.2">
      <c r="A44" s="20"/>
      <c r="B44" s="33">
        <f>B42/B43</f>
        <v>-3.2647902476236794</v>
      </c>
    </row>
    <row r="45" spans="1:6" x14ac:dyDescent="0.2">
      <c r="A45" s="20"/>
      <c r="B45" s="20"/>
      <c r="C45" s="20"/>
      <c r="D45" s="20"/>
      <c r="E45" s="20"/>
      <c r="F45" s="20"/>
    </row>
    <row r="46" spans="1:6" x14ac:dyDescent="0.2">
      <c r="A46" s="20"/>
      <c r="B46" s="20" t="s">
        <v>29</v>
      </c>
      <c r="C46" s="20"/>
      <c r="D46" s="20"/>
      <c r="E46" s="20"/>
      <c r="F46" s="20"/>
    </row>
    <row r="47" spans="1:6" x14ac:dyDescent="0.2">
      <c r="A47" s="20"/>
      <c r="B47" s="20" t="s">
        <v>33</v>
      </c>
      <c r="C47" s="20"/>
    </row>
    <row r="48" spans="1:6" x14ac:dyDescent="0.2">
      <c r="A48" s="20" t="s">
        <v>37</v>
      </c>
      <c r="B48" s="20">
        <f>L21</f>
        <v>413856.00000000006</v>
      </c>
      <c r="C48" s="20"/>
      <c r="F48" s="51"/>
    </row>
    <row r="49" spans="1:6" x14ac:dyDescent="0.2">
      <c r="A49" s="20" t="s">
        <v>40</v>
      </c>
      <c r="B49" s="20">
        <f>I29</f>
        <v>328387.59999999998</v>
      </c>
      <c r="C49" s="20"/>
    </row>
    <row r="50" spans="1:6" x14ac:dyDescent="0.2">
      <c r="A50" s="20"/>
      <c r="B50" s="32">
        <f>B48/B49</f>
        <v>1.2602668310252887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-85468.400000000081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328387.59999999998</v>
      </c>
      <c r="C55" s="20"/>
    </row>
    <row r="56" spans="1:6" x14ac:dyDescent="0.2">
      <c r="A56" s="20"/>
      <c r="B56" s="32">
        <f>B54/B55</f>
        <v>-0.26026683102528869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L7</f>
        <v>13382.4</v>
      </c>
    </row>
    <row r="61" spans="1:6" x14ac:dyDescent="0.2">
      <c r="A61" s="20" t="s">
        <v>41</v>
      </c>
      <c r="B61" s="20">
        <f>E2</f>
        <v>520380</v>
      </c>
      <c r="F61" s="20"/>
    </row>
    <row r="62" spans="1:6" x14ac:dyDescent="0.2">
      <c r="A62" s="20"/>
      <c r="B62" s="33">
        <f>B60/B61</f>
        <v>2.5716591721434336E-2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1115.2</v>
      </c>
    </row>
    <row r="67" spans="1:6" x14ac:dyDescent="0.2">
      <c r="A67" s="20" t="s">
        <v>42</v>
      </c>
      <c r="B67" s="20">
        <f>B61/12</f>
        <v>43365</v>
      </c>
    </row>
    <row r="68" spans="1:6" x14ac:dyDescent="0.2">
      <c r="A68" s="20"/>
      <c r="B68" s="33">
        <f>B66/B67</f>
        <v>2.5716591721434336E-2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279036.39879999997</v>
      </c>
    </row>
    <row r="73" spans="1:6" x14ac:dyDescent="0.2">
      <c r="A73" s="20" t="s">
        <v>15</v>
      </c>
      <c r="B73" s="20">
        <f>E2</f>
        <v>520380</v>
      </c>
    </row>
    <row r="74" spans="1:6" x14ac:dyDescent="0.2">
      <c r="A74" s="20"/>
      <c r="B74" s="32">
        <f>B72/B73</f>
        <v>0.53621660863215337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G29</f>
        <v>49351.201199999996</v>
      </c>
      <c r="C78" s="20"/>
    </row>
    <row r="79" spans="1:6" x14ac:dyDescent="0.2">
      <c r="A79" s="20" t="s">
        <v>28</v>
      </c>
      <c r="B79" s="20">
        <f>B43</f>
        <v>-85468.400000000081</v>
      </c>
      <c r="C79" s="20"/>
    </row>
    <row r="80" spans="1:6" x14ac:dyDescent="0.2">
      <c r="A80" s="20"/>
      <c r="B80" s="32">
        <f>B78/B79</f>
        <v>-0.57742044077109145</v>
      </c>
      <c r="C80" s="20"/>
    </row>
    <row r="90" spans="1:5" ht="15" thickBot="1" x14ac:dyDescent="0.25">
      <c r="A90" s="43">
        <f>A91-B107</f>
        <v>351380</v>
      </c>
    </row>
    <row r="91" spans="1:5" ht="21" thickTop="1" thickBot="1" x14ac:dyDescent="0.25">
      <c r="A91" s="44">
        <f>E2</f>
        <v>520380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51380</v>
      </c>
      <c r="D95" s="46">
        <v>0.1</v>
      </c>
      <c r="E95" s="47">
        <f t="shared" si="0"/>
        <v>5138</v>
      </c>
    </row>
    <row r="96" spans="1:5" x14ac:dyDescent="0.2">
      <c r="B96" s="45" t="s">
        <v>128</v>
      </c>
      <c r="C96" s="7">
        <f>IF((A90-C93-C94-C95)&gt;=250000,250000,(A90-C93-C94-C95))</f>
        <v>0</v>
      </c>
      <c r="D96" s="46">
        <v>0.15</v>
      </c>
      <c r="E96" s="47">
        <f t="shared" si="0"/>
        <v>0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0</v>
      </c>
      <c r="D97" s="46">
        <v>0.2</v>
      </c>
      <c r="E97" s="47">
        <f t="shared" si="0"/>
        <v>0</v>
      </c>
    </row>
    <row r="98" spans="1:5" x14ac:dyDescent="0.2">
      <c r="B98" s="45" t="s">
        <v>130</v>
      </c>
      <c r="C98" s="7">
        <f>IF((A90-C93-C94-C95-C96-C97)&gt;=1000000,1000000,(A90-C93-C94-C95-C96-C97))</f>
        <v>0</v>
      </c>
      <c r="D98" s="46">
        <v>0.25</v>
      </c>
      <c r="E98" s="47">
        <f t="shared" si="0"/>
        <v>0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12638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B107" s="42">
        <f>SUM(B104:B106)</f>
        <v>169000</v>
      </c>
    </row>
  </sheetData>
  <mergeCells count="1">
    <mergeCell ref="A103:B103"/>
  </mergeCells>
  <conditionalFormatting sqref="B32">
    <cfRule type="cellIs" dxfId="265" priority="18" operator="greaterThan">
      <formula>0.9999999999</formula>
    </cfRule>
    <cfRule type="cellIs" dxfId="264" priority="19" operator="lessThan">
      <formula>1</formula>
    </cfRule>
  </conditionalFormatting>
  <conditionalFormatting sqref="B38">
    <cfRule type="cellIs" dxfId="263" priority="16" operator="greaterThan">
      <formula>5.9999</formula>
    </cfRule>
    <cfRule type="cellIs" dxfId="262" priority="17" operator="lessThan">
      <formula>3</formula>
    </cfRule>
  </conditionalFormatting>
  <conditionalFormatting sqref="B44">
    <cfRule type="cellIs" dxfId="261" priority="13" operator="greaterThan">
      <formula>0.29</formula>
    </cfRule>
    <cfRule type="cellIs" dxfId="260" priority="14" operator="lessThan">
      <formula>0.05</formula>
    </cfRule>
    <cfRule type="cellIs" dxfId="259" priority="15" operator="greaterThan">
      <formula>0.049</formula>
    </cfRule>
  </conditionalFormatting>
  <conditionalFormatting sqref="B50">
    <cfRule type="cellIs" dxfId="258" priority="11" operator="greaterThan">
      <formula>0.49</formula>
    </cfRule>
    <cfRule type="cellIs" dxfId="257" priority="12" operator="lessThan">
      <formula>0.41</formula>
    </cfRule>
  </conditionalFormatting>
  <conditionalFormatting sqref="B56">
    <cfRule type="cellIs" dxfId="256" priority="9" operator="lessThan">
      <formula>0.41</formula>
    </cfRule>
    <cfRule type="cellIs" dxfId="255" priority="10" operator="greaterThan">
      <formula>0.59</formula>
    </cfRule>
  </conditionalFormatting>
  <conditionalFormatting sqref="B62">
    <cfRule type="cellIs" dxfId="254" priority="7" operator="greaterThan">
      <formula>0.39</formula>
    </cfRule>
    <cfRule type="cellIs" dxfId="253" priority="8" operator="lessThan">
      <formula>0.281</formula>
    </cfRule>
  </conditionalFormatting>
  <conditionalFormatting sqref="B68">
    <cfRule type="cellIs" dxfId="252" priority="5" operator="greaterThan">
      <formula>0.39</formula>
    </cfRule>
    <cfRule type="cellIs" dxfId="251" priority="6" operator="lessThan">
      <formula>0.281</formula>
    </cfRule>
  </conditionalFormatting>
  <conditionalFormatting sqref="B74">
    <cfRule type="cellIs" dxfId="250" priority="3" operator="lessThan">
      <formula>0.1</formula>
    </cfRule>
    <cfRule type="cellIs" dxfId="249" priority="4" operator="greaterThan">
      <formula>0.19</formula>
    </cfRule>
  </conditionalFormatting>
  <conditionalFormatting sqref="B80">
    <cfRule type="cellIs" dxfId="248" priority="1" operator="lessThan">
      <formula>0.3</formula>
    </cfRule>
    <cfRule type="cellIs" dxfId="247" priority="2" operator="greaterThan">
      <formula>0.49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CB8F-2E16-41B1-A498-60496DF2849E}">
  <dimension ref="A1:L107"/>
  <sheetViews>
    <sheetView topLeftCell="D22" workbookViewId="0">
      <selection activeCell="H44" sqref="H44"/>
    </sheetView>
  </sheetViews>
  <sheetFormatPr defaultRowHeight="14.25" x14ac:dyDescent="0.2"/>
  <cols>
    <col min="1" max="1" width="28.75" bestFit="1" customWidth="1"/>
    <col min="2" max="2" width="16.625" bestFit="1" customWidth="1"/>
    <col min="3" max="3" width="13.75" bestFit="1" customWidth="1"/>
    <col min="4" max="4" width="19.125" bestFit="1" customWidth="1"/>
    <col min="5" max="5" width="17.375" bestFit="1" customWidth="1"/>
    <col min="6" max="6" width="18.5" bestFit="1" customWidth="1"/>
    <col min="7" max="7" width="11.375" customWidth="1"/>
    <col min="8" max="8" width="60.25" bestFit="1" customWidth="1"/>
    <col min="9" max="9" width="46.5" bestFit="1" customWidth="1"/>
    <col min="11" max="11" width="17.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DATA!D33</f>
        <v>3</v>
      </c>
      <c r="B2" s="11">
        <f>DATA!E33</f>
        <v>34177.5</v>
      </c>
      <c r="C2" s="11">
        <f>DATA!F33</f>
        <v>410130</v>
      </c>
      <c r="D2" s="11">
        <f>DATA!G33</f>
        <v>136269</v>
      </c>
      <c r="E2" s="11">
        <f>DATA!H33</f>
        <v>546399</v>
      </c>
      <c r="F2" s="11">
        <f>DATA!I33</f>
        <v>45533.25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'2'!I21+F10</f>
        <v>506851.09879999992</v>
      </c>
      <c r="K4" s="4" t="s">
        <v>62</v>
      </c>
      <c r="L4" s="4">
        <f>DATA!G5</f>
        <v>15206.4</v>
      </c>
    </row>
    <row r="5" spans="1:12" x14ac:dyDescent="0.2">
      <c r="H5" s="4" t="s">
        <v>50</v>
      </c>
      <c r="I5" s="4" t="s">
        <v>66</v>
      </c>
      <c r="K5" s="4"/>
      <c r="L5" s="4"/>
    </row>
    <row r="7" spans="1:12" x14ac:dyDescent="0.2">
      <c r="H7" s="4"/>
      <c r="I7" s="4" t="s">
        <v>51</v>
      </c>
      <c r="K7" s="25" t="s">
        <v>65</v>
      </c>
      <c r="L7" s="25">
        <f>SUM(L4:L5)</f>
        <v>15206.4</v>
      </c>
    </row>
    <row r="8" spans="1:12" x14ac:dyDescent="0.2">
      <c r="C8" s="2">
        <v>10</v>
      </c>
      <c r="H8" s="4" t="s">
        <v>52</v>
      </c>
      <c r="I8" s="4"/>
    </row>
    <row r="9" spans="1:12" x14ac:dyDescent="0.2">
      <c r="B9" t="s">
        <v>81</v>
      </c>
      <c r="C9">
        <v>12</v>
      </c>
      <c r="H9" s="4" t="s">
        <v>53</v>
      </c>
      <c r="I9" s="4"/>
      <c r="K9" s="4"/>
      <c r="L9" s="4" t="s">
        <v>63</v>
      </c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227814.69999999995</v>
      </c>
      <c r="K10" s="4" t="s">
        <v>62</v>
      </c>
      <c r="L10" s="4">
        <f>DATA!G18-SUM(DATA!G3:G5)</f>
        <v>385267.20000000007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s="4"/>
      <c r="L11" s="4"/>
    </row>
    <row r="12" spans="1:12" x14ac:dyDescent="0.2">
      <c r="A12" t="s">
        <v>69</v>
      </c>
      <c r="B12">
        <v>1950</v>
      </c>
      <c r="C12">
        <f>B12*$C$9</f>
        <v>23400</v>
      </c>
      <c r="H12" s="4" t="s">
        <v>55</v>
      </c>
      <c r="I12" s="4"/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s="25" t="s">
        <v>64</v>
      </c>
      <c r="L13" s="25">
        <f>SUM(L10:L11)</f>
        <v>385267.20000000007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DATA!C61</f>
        <v>875</v>
      </c>
      <c r="C15">
        <f>B15*C9</f>
        <v>10500</v>
      </c>
      <c r="H15" s="4" t="s">
        <v>58</v>
      </c>
      <c r="I15" s="4"/>
    </row>
    <row r="17" spans="1:12" x14ac:dyDescent="0.2">
      <c r="A17" t="s">
        <v>62</v>
      </c>
      <c r="B17">
        <f>C17/C9</f>
        <v>1267.2</v>
      </c>
      <c r="C17">
        <f>L7</f>
        <v>15206.4</v>
      </c>
      <c r="H17" s="4"/>
      <c r="I17" s="4" t="s">
        <v>59</v>
      </c>
    </row>
    <row r="18" spans="1:12" x14ac:dyDescent="0.2"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2000</v>
      </c>
      <c r="C20">
        <f>B20*$C$9</f>
        <v>24000</v>
      </c>
      <c r="E20" s="20" t="s">
        <v>28</v>
      </c>
      <c r="F20" s="19">
        <f>I29-L21</f>
        <v>157455.99204199982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(SUM(I4:I5)+SUM(I8:I9)+SUM(I12:I15)+SUM(I18))-G30</f>
        <v>459693.45589999994</v>
      </c>
      <c r="K21" s="23" t="s">
        <v>37</v>
      </c>
      <c r="L21" s="23">
        <f>L7+L13</f>
        <v>400473.60000000009</v>
      </c>
    </row>
    <row r="22" spans="1:12" ht="15" thickTop="1" x14ac:dyDescent="0.2">
      <c r="A22" t="s">
        <v>83</v>
      </c>
      <c r="B22">
        <v>350</v>
      </c>
      <c r="C22">
        <f>B22*C9</f>
        <v>4200</v>
      </c>
    </row>
    <row r="24" spans="1:12" x14ac:dyDescent="0.2">
      <c r="F24" s="20"/>
    </row>
    <row r="25" spans="1:12" x14ac:dyDescent="0.2">
      <c r="A25" t="s">
        <v>133</v>
      </c>
      <c r="C25" s="8">
        <f>E101</f>
        <v>15239.900000000001</v>
      </c>
      <c r="F25" s="20"/>
    </row>
    <row r="26" spans="1:12" x14ac:dyDescent="0.2">
      <c r="B26" s="4" t="s">
        <v>84</v>
      </c>
      <c r="C26" s="41">
        <f>SUM(C10:C25)</f>
        <v>318584.30000000005</v>
      </c>
    </row>
    <row r="27" spans="1:12" x14ac:dyDescent="0.2">
      <c r="B27" s="4" t="s">
        <v>85</v>
      </c>
      <c r="C27" s="41">
        <f>C26/C9</f>
        <v>26548.691666666669</v>
      </c>
      <c r="G27" s="22">
        <v>0.2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459693.45589999994</v>
      </c>
      <c r="E29">
        <v>2</v>
      </c>
      <c r="F29" t="s">
        <v>137</v>
      </c>
      <c r="G29">
        <f>DATA!B152</f>
        <v>51078.493241999997</v>
      </c>
      <c r="I29" s="19">
        <f>I21+G38</f>
        <v>557929.59204199992</v>
      </c>
    </row>
    <row r="30" spans="1:12" x14ac:dyDescent="0.2">
      <c r="A30" s="20" t="s">
        <v>25</v>
      </c>
      <c r="B30" s="20">
        <f>I21</f>
        <v>459693.45589999994</v>
      </c>
      <c r="C30" s="20"/>
      <c r="E30">
        <v>3</v>
      </c>
      <c r="F30" t="s">
        <v>137</v>
      </c>
      <c r="G30">
        <f>DATA!C152</f>
        <v>47157.642899999992</v>
      </c>
    </row>
    <row r="31" spans="1:12" x14ac:dyDescent="0.2">
      <c r="A31" s="20" t="s">
        <v>26</v>
      </c>
      <c r="B31" s="20">
        <f>L7</f>
        <v>15206.4</v>
      </c>
      <c r="C31" s="20"/>
    </row>
    <row r="32" spans="1:12" x14ac:dyDescent="0.2">
      <c r="A32" s="20"/>
      <c r="B32" s="21">
        <f>B30/B31</f>
        <v>30.230261988373314</v>
      </c>
      <c r="C32" s="20" t="s">
        <v>87</v>
      </c>
    </row>
    <row r="33" spans="1:7" x14ac:dyDescent="0.2">
      <c r="A33" s="20"/>
      <c r="B33" s="20"/>
      <c r="C33" s="20"/>
      <c r="D33" s="20"/>
      <c r="E33" s="20"/>
      <c r="F33" s="20"/>
    </row>
    <row r="34" spans="1:7" x14ac:dyDescent="0.2">
      <c r="A34" s="20"/>
      <c r="B34" s="20" t="s">
        <v>20</v>
      </c>
      <c r="C34" s="20"/>
    </row>
    <row r="35" spans="1:7" x14ac:dyDescent="0.2">
      <c r="A35" s="20"/>
      <c r="B35" s="20" t="s">
        <v>23</v>
      </c>
      <c r="C35" s="20"/>
    </row>
    <row r="36" spans="1:7" x14ac:dyDescent="0.2">
      <c r="A36" s="20" t="s">
        <v>25</v>
      </c>
      <c r="B36" s="20">
        <f>B30</f>
        <v>459693.45589999994</v>
      </c>
      <c r="C36" s="20"/>
    </row>
    <row r="37" spans="1:7" x14ac:dyDescent="0.2">
      <c r="A37" s="20" t="s">
        <v>27</v>
      </c>
      <c r="B37" s="20">
        <f>C27</f>
        <v>26548.691666666669</v>
      </c>
      <c r="C37" s="20"/>
    </row>
    <row r="38" spans="1:7" x14ac:dyDescent="0.2">
      <c r="A38" s="20"/>
      <c r="B38" s="21">
        <f>B36/B37</f>
        <v>17.31510771497528</v>
      </c>
      <c r="C38" s="20" t="s">
        <v>87</v>
      </c>
      <c r="G38">
        <f>SUM(G29:G37)</f>
        <v>98236.136141999988</v>
      </c>
    </row>
    <row r="40" spans="1:7" x14ac:dyDescent="0.2">
      <c r="A40" s="20"/>
      <c r="B40" s="20" t="s">
        <v>21</v>
      </c>
    </row>
    <row r="41" spans="1:7" x14ac:dyDescent="0.2">
      <c r="A41" s="20"/>
      <c r="B41" s="20" t="s">
        <v>24</v>
      </c>
    </row>
    <row r="42" spans="1:7" x14ac:dyDescent="0.2">
      <c r="A42" s="20" t="s">
        <v>25</v>
      </c>
      <c r="B42" s="20">
        <f>B30</f>
        <v>459693.45589999994</v>
      </c>
    </row>
    <row r="43" spans="1:7" x14ac:dyDescent="0.2">
      <c r="A43" s="20" t="s">
        <v>28</v>
      </c>
      <c r="B43" s="20">
        <f>F20</f>
        <v>157455.99204199982</v>
      </c>
    </row>
    <row r="44" spans="1:7" x14ac:dyDescent="0.2">
      <c r="A44" s="20"/>
      <c r="B44" s="33">
        <f>B42/B43</f>
        <v>2.9195043639709901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400473.60000000009</v>
      </c>
      <c r="C48" s="20"/>
    </row>
    <row r="49" spans="1:6" x14ac:dyDescent="0.2">
      <c r="A49" s="20" t="s">
        <v>40</v>
      </c>
      <c r="B49" s="20">
        <f>I29</f>
        <v>557929.59204199992</v>
      </c>
      <c r="C49" s="20"/>
    </row>
    <row r="50" spans="1:6" x14ac:dyDescent="0.2">
      <c r="A50" s="20"/>
      <c r="B50" s="33">
        <f>B48/B49</f>
        <v>0.7177851931715663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157455.99204199982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557929.59204199992</v>
      </c>
      <c r="C55" s="20"/>
    </row>
    <row r="56" spans="1:6" x14ac:dyDescent="0.2">
      <c r="A56" s="20"/>
      <c r="B56" s="33">
        <f>B54/B55</f>
        <v>0.2822148068284337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L7</f>
        <v>15206.4</v>
      </c>
    </row>
    <row r="61" spans="1:6" x14ac:dyDescent="0.2">
      <c r="A61" s="20" t="s">
        <v>41</v>
      </c>
      <c r="B61" s="20">
        <f>E2</f>
        <v>546399</v>
      </c>
      <c r="F61" s="20"/>
    </row>
    <row r="62" spans="1:6" x14ac:dyDescent="0.2">
      <c r="A62" s="20"/>
      <c r="B62" s="33">
        <f>B60/B61</f>
        <v>2.7830211987942877E-2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1267.2</v>
      </c>
    </row>
    <row r="67" spans="1:6" x14ac:dyDescent="0.2">
      <c r="A67" s="20" t="s">
        <v>42</v>
      </c>
      <c r="B67" s="20">
        <f>B61/12</f>
        <v>45533.25</v>
      </c>
    </row>
    <row r="68" spans="1:6" x14ac:dyDescent="0.2">
      <c r="A68" s="20"/>
      <c r="B68" s="33">
        <f>B66/B67</f>
        <v>2.7830211987942877E-2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459693.45589999994</v>
      </c>
    </row>
    <row r="73" spans="1:6" x14ac:dyDescent="0.2">
      <c r="A73" s="20" t="s">
        <v>15</v>
      </c>
      <c r="B73" s="20">
        <f>E2</f>
        <v>546399</v>
      </c>
    </row>
    <row r="74" spans="1:6" x14ac:dyDescent="0.2">
      <c r="A74" s="20"/>
      <c r="B74" s="32">
        <f>B72/B73</f>
        <v>0.84131459958748089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G38</f>
        <v>98236.136141999988</v>
      </c>
      <c r="C78" s="20"/>
    </row>
    <row r="79" spans="1:6" x14ac:dyDescent="0.2">
      <c r="A79" s="20" t="s">
        <v>28</v>
      </c>
      <c r="B79" s="20">
        <f>B43</f>
        <v>157455.99204199982</v>
      </c>
      <c r="C79" s="20"/>
    </row>
    <row r="80" spans="1:6" x14ac:dyDescent="0.2">
      <c r="A80" s="20"/>
      <c r="B80" s="32">
        <f>B78/B79</f>
        <v>0.62389582554467959</v>
      </c>
      <c r="C80" s="20"/>
    </row>
    <row r="90" spans="1:5" ht="15" thickBot="1" x14ac:dyDescent="0.25">
      <c r="A90" s="43">
        <f>A91-B107</f>
        <v>377399</v>
      </c>
    </row>
    <row r="91" spans="1:5" ht="21" thickTop="1" thickBot="1" x14ac:dyDescent="0.25">
      <c r="A91" s="44">
        <f>E2</f>
        <v>546399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77399</v>
      </c>
      <c r="D95" s="46">
        <v>0.1</v>
      </c>
      <c r="E95" s="47">
        <f t="shared" si="0"/>
        <v>7739.9000000000005</v>
      </c>
    </row>
    <row r="96" spans="1:5" x14ac:dyDescent="0.2">
      <c r="B96" s="45" t="s">
        <v>128</v>
      </c>
      <c r="C96" s="7">
        <f>IF((A90-C93-C94-C95)&gt;=250000,250000,(A90-C93-C94-C95))</f>
        <v>0</v>
      </c>
      <c r="D96" s="46">
        <v>0.15</v>
      </c>
      <c r="E96" s="47">
        <f t="shared" si="0"/>
        <v>0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0</v>
      </c>
      <c r="D97" s="46">
        <v>0.2</v>
      </c>
      <c r="E97" s="47">
        <f t="shared" si="0"/>
        <v>0</v>
      </c>
    </row>
    <row r="98" spans="1:5" x14ac:dyDescent="0.2">
      <c r="B98" s="45" t="s">
        <v>130</v>
      </c>
      <c r="C98" s="7">
        <f>IF((A90-C93-C94-C95-C96-C97)&gt;=1000000,1000000,(A90-C93-C94-C95-C96-C97))</f>
        <v>0</v>
      </c>
      <c r="D98" s="46">
        <v>0.25</v>
      </c>
      <c r="E98" s="47">
        <f t="shared" si="0"/>
        <v>0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15239.900000000001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B107" s="42">
        <f>SUM(B104:B106)</f>
        <v>169000</v>
      </c>
    </row>
  </sheetData>
  <mergeCells count="1">
    <mergeCell ref="A103:B103"/>
  </mergeCells>
  <conditionalFormatting sqref="B32">
    <cfRule type="cellIs" dxfId="246" priority="18" operator="greaterThan">
      <formula>0.9999999999</formula>
    </cfRule>
    <cfRule type="cellIs" dxfId="245" priority="19" operator="lessThan">
      <formula>1</formula>
    </cfRule>
  </conditionalFormatting>
  <conditionalFormatting sqref="B38">
    <cfRule type="cellIs" dxfId="244" priority="16" operator="greaterThan">
      <formula>5.9999</formula>
    </cfRule>
    <cfRule type="cellIs" dxfId="243" priority="17" operator="lessThan">
      <formula>3</formula>
    </cfRule>
  </conditionalFormatting>
  <conditionalFormatting sqref="B44">
    <cfRule type="cellIs" dxfId="242" priority="13" operator="greaterThan">
      <formula>0.29</formula>
    </cfRule>
    <cfRule type="cellIs" dxfId="241" priority="14" operator="lessThan">
      <formula>0.05</formula>
    </cfRule>
    <cfRule type="cellIs" dxfId="240" priority="15" operator="greaterThan">
      <formula>0.049</formula>
    </cfRule>
  </conditionalFormatting>
  <conditionalFormatting sqref="B50">
    <cfRule type="cellIs" dxfId="239" priority="11" operator="greaterThan">
      <formula>0.49</formula>
    </cfRule>
    <cfRule type="cellIs" dxfId="238" priority="12" operator="lessThan">
      <formula>0.41</formula>
    </cfRule>
  </conditionalFormatting>
  <conditionalFormatting sqref="B56">
    <cfRule type="cellIs" dxfId="237" priority="9" operator="lessThan">
      <formula>0.41</formula>
    </cfRule>
    <cfRule type="cellIs" dxfId="236" priority="10" operator="greaterThan">
      <formula>0.59</formula>
    </cfRule>
  </conditionalFormatting>
  <conditionalFormatting sqref="B62">
    <cfRule type="cellIs" dxfId="235" priority="7" operator="greaterThan">
      <formula>0.39</formula>
    </cfRule>
    <cfRule type="cellIs" dxfId="234" priority="8" operator="lessThan">
      <formula>0.281</formula>
    </cfRule>
  </conditionalFormatting>
  <conditionalFormatting sqref="B68">
    <cfRule type="cellIs" dxfId="233" priority="5" operator="greaterThan">
      <formula>0.39</formula>
    </cfRule>
    <cfRule type="cellIs" dxfId="232" priority="6" operator="lessThan">
      <formula>0.281</formula>
    </cfRule>
  </conditionalFormatting>
  <conditionalFormatting sqref="B74">
    <cfRule type="cellIs" dxfId="231" priority="3" operator="lessThan">
      <formula>0.1</formula>
    </cfRule>
    <cfRule type="cellIs" dxfId="230" priority="4" operator="greaterThan">
      <formula>0.19</formula>
    </cfRule>
  </conditionalFormatting>
  <conditionalFormatting sqref="B80">
    <cfRule type="cellIs" dxfId="229" priority="1" operator="lessThan">
      <formula>0.3</formula>
    </cfRule>
    <cfRule type="cellIs" dxfId="228" priority="2" operator="greaterThan">
      <formula>0.49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0B9E-2E9B-4028-8F19-F8BFCB5A55D4}">
  <dimension ref="A1:L107"/>
  <sheetViews>
    <sheetView topLeftCell="D8" workbookViewId="0">
      <selection activeCell="G32" sqref="G32"/>
    </sheetView>
  </sheetViews>
  <sheetFormatPr defaultRowHeight="14.25" x14ac:dyDescent="0.2"/>
  <cols>
    <col min="1" max="1" width="28.75" bestFit="1" customWidth="1"/>
    <col min="2" max="2" width="16.625" bestFit="1" customWidth="1"/>
    <col min="3" max="3" width="13.75" bestFit="1" customWidth="1"/>
    <col min="4" max="4" width="19.125" bestFit="1" customWidth="1"/>
    <col min="5" max="5" width="17.375" bestFit="1" customWidth="1"/>
    <col min="6" max="6" width="18.5" bestFit="1" customWidth="1"/>
    <col min="8" max="8" width="60.25" bestFit="1" customWidth="1"/>
    <col min="9" max="9" width="46.5" bestFit="1" customWidth="1"/>
    <col min="11" max="11" width="17.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DATA!D34</f>
        <v>4</v>
      </c>
      <c r="B2" s="11">
        <f>DATA!E34</f>
        <v>35886.375</v>
      </c>
      <c r="C2" s="11">
        <f>DATA!F34</f>
        <v>430636.5</v>
      </c>
      <c r="D2" s="11">
        <f>DATA!G34</f>
        <v>149895.90000000002</v>
      </c>
      <c r="E2" s="11">
        <f>DATA!H34</f>
        <v>580532.4</v>
      </c>
      <c r="F2" s="11">
        <f>DATA!I34</f>
        <v>48377.700000000004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'3'!I21+F10</f>
        <v>655307.41589999991</v>
      </c>
      <c r="K4" s="4" t="s">
        <v>62</v>
      </c>
      <c r="L4" s="4">
        <f>DATA!G6</f>
        <v>17011.2</v>
      </c>
    </row>
    <row r="5" spans="1:12" x14ac:dyDescent="0.2">
      <c r="H5" s="4" t="s">
        <v>50</v>
      </c>
      <c r="I5" s="4" t="s">
        <v>66</v>
      </c>
      <c r="K5" s="4"/>
      <c r="L5" s="4"/>
    </row>
    <row r="7" spans="1:12" x14ac:dyDescent="0.2">
      <c r="H7" s="4"/>
      <c r="I7" s="4" t="s">
        <v>51</v>
      </c>
      <c r="K7" s="25" t="s">
        <v>65</v>
      </c>
      <c r="L7" s="25">
        <f>SUM(L4:L5)</f>
        <v>17011.2</v>
      </c>
    </row>
    <row r="8" spans="1:12" x14ac:dyDescent="0.2">
      <c r="C8" s="2">
        <v>10</v>
      </c>
      <c r="H8" s="4" t="s">
        <v>52</v>
      </c>
      <c r="I8" s="4"/>
    </row>
    <row r="9" spans="1:12" x14ac:dyDescent="0.2">
      <c r="B9" t="s">
        <v>81</v>
      </c>
      <c r="C9">
        <v>12</v>
      </c>
      <c r="H9" s="4" t="s">
        <v>53</v>
      </c>
      <c r="I9" s="4"/>
      <c r="K9" s="4"/>
      <c r="L9" s="4" t="s">
        <v>63</v>
      </c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195613.96000000002</v>
      </c>
      <c r="K10" s="4" t="s">
        <v>62</v>
      </c>
      <c r="L10" s="4">
        <f>DATA!G18-SUM(DATA!G3:G6)</f>
        <v>368256.00000000006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s="4"/>
      <c r="L11" s="4"/>
    </row>
    <row r="12" spans="1:12" x14ac:dyDescent="0.2">
      <c r="A12" t="s">
        <v>69</v>
      </c>
      <c r="B12">
        <v>2043</v>
      </c>
      <c r="C12">
        <f>B12*$C$9</f>
        <v>24516</v>
      </c>
      <c r="H12" s="4" t="s">
        <v>55</v>
      </c>
      <c r="I12" s="4"/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s="25" t="s">
        <v>64</v>
      </c>
      <c r="L13" s="25">
        <f>SUM(L10:L11)</f>
        <v>368256.00000000006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DATA!C61</f>
        <v>875</v>
      </c>
      <c r="C15">
        <f>B15*C9</f>
        <v>10500</v>
      </c>
      <c r="H15" s="4" t="s">
        <v>58</v>
      </c>
      <c r="I15" s="4"/>
    </row>
    <row r="17" spans="1:12" x14ac:dyDescent="0.2">
      <c r="A17" t="s">
        <v>62</v>
      </c>
      <c r="B17">
        <f>C17/C9</f>
        <v>1417.6000000000001</v>
      </c>
      <c r="C17">
        <f>L7</f>
        <v>17011.2</v>
      </c>
      <c r="H17" s="4"/>
      <c r="I17" s="4" t="s">
        <v>59</v>
      </c>
    </row>
    <row r="18" spans="1:12" x14ac:dyDescent="0.2"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2000</v>
      </c>
      <c r="C20">
        <f>B20*$C$9</f>
        <v>24000</v>
      </c>
      <c r="E20" s="20" t="s">
        <v>28</v>
      </c>
      <c r="F20" s="19">
        <f>I29-L21</f>
        <v>371714.61680696986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(SUM(I4:I5)+SUM(I8:I9)+SUM(I12:I15)+SUM(I18))-G31</f>
        <v>564200.21402999992</v>
      </c>
      <c r="K21" s="23" t="s">
        <v>37</v>
      </c>
      <c r="L21" s="23">
        <f>L7+L13</f>
        <v>385267.20000000007</v>
      </c>
    </row>
    <row r="22" spans="1:12" ht="15" thickTop="1" x14ac:dyDescent="0.2">
      <c r="A22" t="s">
        <v>83</v>
      </c>
      <c r="B22">
        <v>350</v>
      </c>
      <c r="C22">
        <f>B22*C9</f>
        <v>4200</v>
      </c>
    </row>
    <row r="23" spans="1:12" x14ac:dyDescent="0.2">
      <c r="A23" t="s">
        <v>117</v>
      </c>
      <c r="B23">
        <v>5000</v>
      </c>
      <c r="C23">
        <f>B23*C9</f>
        <v>60000</v>
      </c>
    </row>
    <row r="24" spans="1:12" x14ac:dyDescent="0.2">
      <c r="F24" s="20"/>
    </row>
    <row r="25" spans="1:12" x14ac:dyDescent="0.2">
      <c r="A25" t="s">
        <v>133</v>
      </c>
      <c r="C25" s="8">
        <f>E101</f>
        <v>18653.240000000005</v>
      </c>
      <c r="F25" s="20"/>
    </row>
    <row r="26" spans="1:12" x14ac:dyDescent="0.2">
      <c r="B26" s="4" t="s">
        <v>84</v>
      </c>
      <c r="C26" s="41">
        <f>SUM(C10:C25)</f>
        <v>384918.44</v>
      </c>
    </row>
    <row r="27" spans="1:12" x14ac:dyDescent="0.2">
      <c r="B27" s="4" t="s">
        <v>85</v>
      </c>
      <c r="C27" s="41">
        <f>C26/C9</f>
        <v>32076.536666666667</v>
      </c>
      <c r="G27" s="22">
        <v>0.45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564200.21402999992</v>
      </c>
      <c r="E29">
        <v>2</v>
      </c>
      <c r="F29" t="s">
        <v>137</v>
      </c>
      <c r="G29">
        <f>DATA!B153</f>
        <v>52866.240505469985</v>
      </c>
      <c r="I29" s="19">
        <f>I21+G38</f>
        <v>756981.81680696993</v>
      </c>
    </row>
    <row r="30" spans="1:12" x14ac:dyDescent="0.2">
      <c r="A30" s="20" t="s">
        <v>25</v>
      </c>
      <c r="B30" s="20">
        <f>I21</f>
        <v>564200.21402999992</v>
      </c>
      <c r="C30" s="20"/>
      <c r="E30">
        <v>3</v>
      </c>
      <c r="F30" t="s">
        <v>137</v>
      </c>
      <c r="G30">
        <f>DATA!C153</f>
        <v>48808.16040149999</v>
      </c>
    </row>
    <row r="31" spans="1:12" x14ac:dyDescent="0.2">
      <c r="A31" s="20" t="s">
        <v>26</v>
      </c>
      <c r="B31" s="20">
        <f>L7</f>
        <v>17011.2</v>
      </c>
      <c r="C31" s="20"/>
      <c r="E31">
        <v>4</v>
      </c>
      <c r="F31" t="s">
        <v>137</v>
      </c>
      <c r="G31">
        <f>DATA!D153</f>
        <v>91107.201870000004</v>
      </c>
    </row>
    <row r="32" spans="1:12" x14ac:dyDescent="0.2">
      <c r="A32" s="20"/>
      <c r="B32" s="21">
        <f>B30/B31</f>
        <v>33.166397081334644</v>
      </c>
      <c r="C32" s="20" t="s">
        <v>87</v>
      </c>
    </row>
    <row r="33" spans="1:7" x14ac:dyDescent="0.2">
      <c r="A33" s="20"/>
      <c r="B33" s="20"/>
      <c r="C33" s="20"/>
      <c r="D33" s="20"/>
      <c r="E33" s="20"/>
      <c r="F33" s="20"/>
    </row>
    <row r="34" spans="1:7" x14ac:dyDescent="0.2">
      <c r="A34" s="20"/>
      <c r="B34" s="20" t="s">
        <v>20</v>
      </c>
      <c r="C34" s="20"/>
    </row>
    <row r="35" spans="1:7" x14ac:dyDescent="0.2">
      <c r="A35" s="20"/>
      <c r="B35" s="20" t="s">
        <v>23</v>
      </c>
      <c r="C35" s="20"/>
    </row>
    <row r="36" spans="1:7" x14ac:dyDescent="0.2">
      <c r="A36" s="20" t="s">
        <v>25</v>
      </c>
      <c r="B36" s="20">
        <f>B30</f>
        <v>564200.21402999992</v>
      </c>
      <c r="C36" s="20"/>
    </row>
    <row r="37" spans="1:7" x14ac:dyDescent="0.2">
      <c r="A37" s="20" t="s">
        <v>27</v>
      </c>
      <c r="B37" s="20">
        <f>C27</f>
        <v>32076.536666666667</v>
      </c>
      <c r="C37" s="20"/>
    </row>
    <row r="38" spans="1:7" x14ac:dyDescent="0.2">
      <c r="A38" s="20"/>
      <c r="B38" s="21">
        <f>B36/B37</f>
        <v>17.58918738307263</v>
      </c>
      <c r="C38" s="20" t="s">
        <v>87</v>
      </c>
      <c r="G38">
        <f>SUM(G29:G37)</f>
        <v>192781.60277696996</v>
      </c>
    </row>
    <row r="40" spans="1:7" x14ac:dyDescent="0.2">
      <c r="A40" s="20"/>
      <c r="B40" s="20" t="s">
        <v>21</v>
      </c>
    </row>
    <row r="41" spans="1:7" x14ac:dyDescent="0.2">
      <c r="A41" s="20"/>
      <c r="B41" s="20" t="s">
        <v>24</v>
      </c>
    </row>
    <row r="42" spans="1:7" x14ac:dyDescent="0.2">
      <c r="A42" s="20" t="s">
        <v>25</v>
      </c>
      <c r="B42" s="20">
        <f>B30</f>
        <v>564200.21402999992</v>
      </c>
    </row>
    <row r="43" spans="1:7" x14ac:dyDescent="0.2">
      <c r="A43" s="20" t="s">
        <v>28</v>
      </c>
      <c r="B43" s="20">
        <f>F20</f>
        <v>371714.61680696986</v>
      </c>
    </row>
    <row r="44" spans="1:7" x14ac:dyDescent="0.2">
      <c r="A44" s="20"/>
      <c r="B44" s="33">
        <f>B42/B43</f>
        <v>1.5178316604186355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385267.20000000007</v>
      </c>
      <c r="C48" s="20"/>
    </row>
    <row r="49" spans="1:6" x14ac:dyDescent="0.2">
      <c r="A49" s="20" t="s">
        <v>40</v>
      </c>
      <c r="B49" s="20">
        <f>I29</f>
        <v>756981.81680696993</v>
      </c>
      <c r="C49" s="20"/>
    </row>
    <row r="50" spans="1:6" x14ac:dyDescent="0.2">
      <c r="A50" s="20"/>
      <c r="B50" s="32">
        <f>B48/B49</f>
        <v>0.50895172307453596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371714.61680696986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756981.81680696993</v>
      </c>
      <c r="C55" s="20"/>
    </row>
    <row r="56" spans="1:6" x14ac:dyDescent="0.2">
      <c r="A56" s="20"/>
      <c r="B56" s="32">
        <f>B54/B55</f>
        <v>0.49104827692546404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L7</f>
        <v>17011.2</v>
      </c>
    </row>
    <row r="61" spans="1:6" x14ac:dyDescent="0.2">
      <c r="A61" s="20" t="s">
        <v>41</v>
      </c>
      <c r="B61" s="20">
        <f>E2</f>
        <v>580532.4</v>
      </c>
      <c r="F61" s="20"/>
    </row>
    <row r="62" spans="1:6" x14ac:dyDescent="0.2">
      <c r="A62" s="20"/>
      <c r="B62" s="33">
        <f>B60/B61</f>
        <v>2.9302757262126972E-2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1417.6000000000001</v>
      </c>
    </row>
    <row r="67" spans="1:6" x14ac:dyDescent="0.2">
      <c r="A67" s="20" t="s">
        <v>42</v>
      </c>
      <c r="B67" s="20">
        <f>B61/12</f>
        <v>48377.700000000004</v>
      </c>
    </row>
    <row r="68" spans="1:6" x14ac:dyDescent="0.2">
      <c r="A68" s="20"/>
      <c r="B68" s="33">
        <f>B66/B67</f>
        <v>2.9302757262126972E-2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564200.21402999992</v>
      </c>
    </row>
    <row r="73" spans="1:6" x14ac:dyDescent="0.2">
      <c r="A73" s="20" t="s">
        <v>15</v>
      </c>
      <c r="B73" s="20">
        <f>E2</f>
        <v>580532.4</v>
      </c>
    </row>
    <row r="74" spans="1:6" x14ac:dyDescent="0.2">
      <c r="A74" s="20"/>
      <c r="B74" s="32">
        <f>B72/B73</f>
        <v>0.97186688293366552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G38</f>
        <v>192781.60277696996</v>
      </c>
      <c r="C78" s="20"/>
    </row>
    <row r="79" spans="1:6" x14ac:dyDescent="0.2">
      <c r="A79" s="20" t="s">
        <v>28</v>
      </c>
      <c r="B79" s="20">
        <f>B43</f>
        <v>371714.61680696986</v>
      </c>
      <c r="C79" s="20"/>
    </row>
    <row r="80" spans="1:6" x14ac:dyDescent="0.2">
      <c r="A80" s="20"/>
      <c r="B80" s="32">
        <f>B78/B79</f>
        <v>0.51862798518111752</v>
      </c>
      <c r="C80" s="20"/>
    </row>
    <row r="90" spans="1:5" ht="15" thickBot="1" x14ac:dyDescent="0.25">
      <c r="A90" s="43">
        <f>A91-B107</f>
        <v>411532.4</v>
      </c>
    </row>
    <row r="91" spans="1:5" ht="21" thickTop="1" thickBot="1" x14ac:dyDescent="0.25">
      <c r="A91" s="44">
        <f>E2</f>
        <v>580532.4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111532.40000000002</v>
      </c>
      <c r="D95" s="46">
        <v>0.1</v>
      </c>
      <c r="E95" s="47">
        <f t="shared" si="0"/>
        <v>11153.240000000003</v>
      </c>
    </row>
    <row r="96" spans="1:5" x14ac:dyDescent="0.2">
      <c r="B96" s="45" t="s">
        <v>128</v>
      </c>
      <c r="C96" s="7">
        <f>IF((A90-C93-C94-C95)&gt;=250000,250000,(A90-C93-C94-C95))</f>
        <v>0</v>
      </c>
      <c r="D96" s="46">
        <v>0.15</v>
      </c>
      <c r="E96" s="47">
        <f t="shared" si="0"/>
        <v>0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0</v>
      </c>
      <c r="D97" s="46">
        <v>0.2</v>
      </c>
      <c r="E97" s="47">
        <f t="shared" si="0"/>
        <v>0</v>
      </c>
    </row>
    <row r="98" spans="1:5" x14ac:dyDescent="0.2">
      <c r="B98" s="45" t="s">
        <v>130</v>
      </c>
      <c r="C98" s="7">
        <f>IF((A90-C93-C94-C95-C96-C97)&gt;=1000000,1000000,(A90-C93-C94-C95-C96-C97))</f>
        <v>0</v>
      </c>
      <c r="D98" s="46">
        <v>0.25</v>
      </c>
      <c r="E98" s="47">
        <f t="shared" si="0"/>
        <v>0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18653.240000000005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B107" s="42">
        <f>SUM(B104:B106)</f>
        <v>169000</v>
      </c>
    </row>
  </sheetData>
  <mergeCells count="1">
    <mergeCell ref="A103:B103"/>
  </mergeCells>
  <conditionalFormatting sqref="B32">
    <cfRule type="cellIs" dxfId="227" priority="18" operator="greaterThan">
      <formula>0.9999999999</formula>
    </cfRule>
    <cfRule type="cellIs" dxfId="226" priority="19" operator="lessThan">
      <formula>1</formula>
    </cfRule>
  </conditionalFormatting>
  <conditionalFormatting sqref="B38">
    <cfRule type="cellIs" dxfId="225" priority="16" operator="greaterThan">
      <formula>5.9999</formula>
    </cfRule>
    <cfRule type="cellIs" dxfId="224" priority="17" operator="lessThan">
      <formula>3</formula>
    </cfRule>
  </conditionalFormatting>
  <conditionalFormatting sqref="B44">
    <cfRule type="cellIs" dxfId="223" priority="13" operator="greaterThan">
      <formula>0.29</formula>
    </cfRule>
    <cfRule type="cellIs" dxfId="222" priority="14" operator="lessThan">
      <formula>0.05</formula>
    </cfRule>
    <cfRule type="cellIs" dxfId="221" priority="15" operator="greaterThan">
      <formula>0.049</formula>
    </cfRule>
  </conditionalFormatting>
  <conditionalFormatting sqref="B50">
    <cfRule type="cellIs" dxfId="220" priority="11" operator="greaterThan">
      <formula>0.49</formula>
    </cfRule>
    <cfRule type="cellIs" dxfId="219" priority="12" operator="lessThan">
      <formula>0.41</formula>
    </cfRule>
  </conditionalFormatting>
  <conditionalFormatting sqref="B56">
    <cfRule type="cellIs" dxfId="218" priority="9" operator="lessThan">
      <formula>0.41</formula>
    </cfRule>
    <cfRule type="cellIs" dxfId="217" priority="10" operator="greaterThan">
      <formula>0.59</formula>
    </cfRule>
  </conditionalFormatting>
  <conditionalFormatting sqref="B62">
    <cfRule type="cellIs" dxfId="216" priority="7" operator="greaterThan">
      <formula>0.39</formula>
    </cfRule>
    <cfRule type="cellIs" dxfId="215" priority="8" operator="lessThan">
      <formula>0.281</formula>
    </cfRule>
  </conditionalFormatting>
  <conditionalFormatting sqref="B68">
    <cfRule type="cellIs" dxfId="214" priority="5" operator="greaterThan">
      <formula>0.39</formula>
    </cfRule>
    <cfRule type="cellIs" dxfId="213" priority="6" operator="lessThan">
      <formula>0.281</formula>
    </cfRule>
  </conditionalFormatting>
  <conditionalFormatting sqref="B74">
    <cfRule type="cellIs" dxfId="212" priority="3" operator="lessThan">
      <formula>0.1</formula>
    </cfRule>
    <cfRule type="cellIs" dxfId="211" priority="4" operator="greaterThan">
      <formula>0.19</formula>
    </cfRule>
  </conditionalFormatting>
  <conditionalFormatting sqref="B80">
    <cfRule type="cellIs" dxfId="210" priority="1" operator="lessThan">
      <formula>0.3</formula>
    </cfRule>
    <cfRule type="cellIs" dxfId="209" priority="2" operator="greaterThan">
      <formula>0.49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1341-04C5-4259-A0DB-D1F410136863}">
  <dimension ref="A1:L107"/>
  <sheetViews>
    <sheetView topLeftCell="E17" workbookViewId="0">
      <selection activeCell="G33" sqref="G33"/>
    </sheetView>
  </sheetViews>
  <sheetFormatPr defaultRowHeight="14.25" x14ac:dyDescent="0.2"/>
  <cols>
    <col min="1" max="1" width="28.75" bestFit="1" customWidth="1"/>
    <col min="2" max="2" width="16.625" bestFit="1" customWidth="1"/>
    <col min="3" max="3" width="13.75" bestFit="1" customWidth="1"/>
    <col min="4" max="4" width="19.125" bestFit="1" customWidth="1"/>
    <col min="5" max="5" width="17.375" bestFit="1" customWidth="1"/>
    <col min="6" max="6" width="18.5" bestFit="1" customWidth="1"/>
    <col min="7" max="7" width="11.75" customWidth="1"/>
    <col min="8" max="8" width="60.25" bestFit="1" customWidth="1"/>
    <col min="9" max="9" width="46.5" bestFit="1" customWidth="1"/>
    <col min="11" max="11" width="23.62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DATA!D35</f>
        <v>5</v>
      </c>
      <c r="B2" s="11">
        <f>DATA!E35</f>
        <v>37680.693749999999</v>
      </c>
      <c r="C2" s="11">
        <f>DATA!F35</f>
        <v>452168.32499999995</v>
      </c>
      <c r="D2" s="11">
        <f>DATA!G35</f>
        <v>164885.49000000005</v>
      </c>
      <c r="E2" s="11">
        <f>DATA!H35</f>
        <v>617053.81499999994</v>
      </c>
      <c r="F2" s="11">
        <f>DATA!I35</f>
        <v>51421.151249999995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'4'!I21+F10</f>
        <v>768001.84752999991</v>
      </c>
      <c r="K4" s="4" t="s">
        <v>62</v>
      </c>
      <c r="L4" s="4">
        <f>DATA!G7</f>
        <v>18796.8</v>
      </c>
    </row>
    <row r="5" spans="1:12" x14ac:dyDescent="0.2">
      <c r="H5" s="4" t="s">
        <v>50</v>
      </c>
      <c r="I5" s="4" t="s">
        <v>66</v>
      </c>
      <c r="L5" s="4"/>
    </row>
    <row r="7" spans="1:12" x14ac:dyDescent="0.2">
      <c r="H7" s="4"/>
      <c r="I7" s="4" t="s">
        <v>51</v>
      </c>
      <c r="K7" s="25" t="s">
        <v>65</v>
      </c>
      <c r="L7" s="25">
        <f>SUM(L4:L5)</f>
        <v>18796.8</v>
      </c>
    </row>
    <row r="8" spans="1:12" x14ac:dyDescent="0.2">
      <c r="C8" s="2">
        <v>10</v>
      </c>
      <c r="H8" s="4" t="s">
        <v>52</v>
      </c>
      <c r="I8" s="4"/>
    </row>
    <row r="9" spans="1:12" x14ac:dyDescent="0.2">
      <c r="B9" t="s">
        <v>81</v>
      </c>
      <c r="C9">
        <v>12</v>
      </c>
      <c r="H9" s="4" t="s">
        <v>53</v>
      </c>
      <c r="I9" s="4"/>
      <c r="K9" s="4"/>
      <c r="L9" s="4" t="s">
        <v>63</v>
      </c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203801.63349999994</v>
      </c>
      <c r="K10" s="4" t="s">
        <v>62</v>
      </c>
      <c r="L10" s="4">
        <f>DATA!G18-SUM(DATA!G3:G7)</f>
        <v>349459.20000000007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L11" s="4"/>
    </row>
    <row r="12" spans="1:12" x14ac:dyDescent="0.2">
      <c r="A12" t="s">
        <v>69</v>
      </c>
      <c r="B12">
        <v>1826</v>
      </c>
      <c r="C12">
        <f>B12*$C$9</f>
        <v>21912</v>
      </c>
      <c r="H12" s="4" t="s">
        <v>55</v>
      </c>
      <c r="I12" s="4"/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s="25" t="s">
        <v>64</v>
      </c>
      <c r="L13" s="25">
        <f>SUM(L10:L11)</f>
        <v>349459.20000000007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DATA!C66</f>
        <v>1000</v>
      </c>
      <c r="C15">
        <f>B15*C9</f>
        <v>12000</v>
      </c>
      <c r="H15" s="4" t="s">
        <v>58</v>
      </c>
      <c r="I15" s="4"/>
    </row>
    <row r="17" spans="1:12" x14ac:dyDescent="0.2">
      <c r="A17" t="s">
        <v>62</v>
      </c>
      <c r="B17">
        <f>C17/C9</f>
        <v>1566.3999999999999</v>
      </c>
      <c r="C17">
        <f>L7</f>
        <v>18796.8</v>
      </c>
      <c r="H17" s="4"/>
      <c r="I17" s="4" t="s">
        <v>59</v>
      </c>
    </row>
    <row r="18" spans="1:12" x14ac:dyDescent="0.2"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2000</v>
      </c>
      <c r="C20">
        <f>B20*$C$9</f>
        <v>24000</v>
      </c>
      <c r="E20" s="20" t="s">
        <v>28</v>
      </c>
      <c r="F20" s="19">
        <f>I29-L21</f>
        <v>599274.80640416383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(SUM(I4:I5)+SUM(I8:I9)+SUM(I12:I15)+SUM(I18))-G32</f>
        <v>673081.23672737496</v>
      </c>
      <c r="K21" s="23" t="s">
        <v>37</v>
      </c>
      <c r="L21" s="23">
        <f>L7+L13</f>
        <v>368256.00000000006</v>
      </c>
    </row>
    <row r="22" spans="1:12" ht="15" thickTop="1" x14ac:dyDescent="0.2">
      <c r="A22" t="s">
        <v>83</v>
      </c>
      <c r="B22">
        <v>350</v>
      </c>
      <c r="C22">
        <f>B22*C9</f>
        <v>4200</v>
      </c>
    </row>
    <row r="23" spans="1:12" x14ac:dyDescent="0.2">
      <c r="A23" t="s">
        <v>117</v>
      </c>
      <c r="B23">
        <v>7000</v>
      </c>
      <c r="C23">
        <f>B23*C9</f>
        <v>84000</v>
      </c>
    </row>
    <row r="24" spans="1:12" x14ac:dyDescent="0.2">
      <c r="F24" s="20"/>
    </row>
    <row r="25" spans="1:12" x14ac:dyDescent="0.2">
      <c r="A25" t="s">
        <v>133</v>
      </c>
      <c r="C25" s="8">
        <f>E101</f>
        <v>22305.381499999996</v>
      </c>
      <c r="F25" s="20"/>
    </row>
    <row r="26" spans="1:12" x14ac:dyDescent="0.2">
      <c r="B26" s="4" t="s">
        <v>84</v>
      </c>
      <c r="C26" s="41">
        <f>SUM(C10:C25)</f>
        <v>413252.18150000001</v>
      </c>
    </row>
    <row r="27" spans="1:12" x14ac:dyDescent="0.2">
      <c r="B27" s="4" t="s">
        <v>85</v>
      </c>
      <c r="C27" s="41">
        <f>C26/C9</f>
        <v>34437.68179166667</v>
      </c>
      <c r="G27" s="22">
        <v>0.45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673081.23672737496</v>
      </c>
      <c r="E29">
        <v>2</v>
      </c>
      <c r="F29" t="s">
        <v>137</v>
      </c>
      <c r="G29">
        <f>DATA!B154</f>
        <v>54716.558923161436</v>
      </c>
      <c r="I29" s="19">
        <f>I21+G38</f>
        <v>967530.80640416383</v>
      </c>
    </row>
    <row r="30" spans="1:12" x14ac:dyDescent="0.2">
      <c r="A30" s="20" t="s">
        <v>25</v>
      </c>
      <c r="B30" s="20">
        <f>I21</f>
        <v>673081.23672737496</v>
      </c>
      <c r="C30" s="20"/>
      <c r="E30">
        <v>3</v>
      </c>
      <c r="F30" t="s">
        <v>137</v>
      </c>
      <c r="G30">
        <f>DATA!C154</f>
        <v>50516.446015552479</v>
      </c>
    </row>
    <row r="31" spans="1:12" x14ac:dyDescent="0.2">
      <c r="A31" s="20" t="s">
        <v>26</v>
      </c>
      <c r="B31" s="20">
        <f>L7</f>
        <v>18796.8</v>
      </c>
      <c r="C31" s="20"/>
      <c r="E31">
        <v>4</v>
      </c>
      <c r="F31" t="s">
        <v>137</v>
      </c>
      <c r="G31">
        <f>DATA!D154</f>
        <v>94295.953935450001</v>
      </c>
    </row>
    <row r="32" spans="1:12" x14ac:dyDescent="0.2">
      <c r="A32" s="20"/>
      <c r="B32" s="21">
        <f>B30/B31</f>
        <v>35.808288470770293</v>
      </c>
      <c r="C32" s="20" t="s">
        <v>87</v>
      </c>
      <c r="E32">
        <v>5</v>
      </c>
      <c r="F32" t="s">
        <v>137</v>
      </c>
      <c r="G32">
        <f>DATA!E154</f>
        <v>94920.610802624971</v>
      </c>
    </row>
    <row r="33" spans="1:7" x14ac:dyDescent="0.2">
      <c r="A33" s="20"/>
      <c r="B33" s="20"/>
      <c r="C33" s="20"/>
      <c r="D33" s="20"/>
      <c r="E33" s="20"/>
      <c r="F33" s="20"/>
    </row>
    <row r="34" spans="1:7" x14ac:dyDescent="0.2">
      <c r="A34" s="20"/>
      <c r="B34" s="20" t="s">
        <v>20</v>
      </c>
      <c r="C34" s="20"/>
    </row>
    <row r="35" spans="1:7" x14ac:dyDescent="0.2">
      <c r="A35" s="20"/>
      <c r="B35" s="20" t="s">
        <v>23</v>
      </c>
      <c r="C35" s="20"/>
    </row>
    <row r="36" spans="1:7" x14ac:dyDescent="0.2">
      <c r="A36" s="20" t="s">
        <v>25</v>
      </c>
      <c r="B36" s="20">
        <f>B30</f>
        <v>673081.23672737496</v>
      </c>
      <c r="C36" s="20"/>
    </row>
    <row r="37" spans="1:7" x14ac:dyDescent="0.2">
      <c r="A37" s="20" t="s">
        <v>27</v>
      </c>
      <c r="B37" s="20">
        <f>C27</f>
        <v>34437.68179166667</v>
      </c>
      <c r="C37" s="20"/>
    </row>
    <row r="38" spans="1:7" x14ac:dyDescent="0.2">
      <c r="A38" s="20"/>
      <c r="B38" s="21">
        <f>B36/B37</f>
        <v>19.544905513653045</v>
      </c>
      <c r="C38" s="20" t="s">
        <v>87</v>
      </c>
      <c r="G38">
        <f>SUM(G29:G37)</f>
        <v>294449.56967678887</v>
      </c>
    </row>
    <row r="40" spans="1:7" x14ac:dyDescent="0.2">
      <c r="A40" s="20"/>
      <c r="B40" s="20" t="s">
        <v>21</v>
      </c>
    </row>
    <row r="41" spans="1:7" x14ac:dyDescent="0.2">
      <c r="A41" s="20"/>
      <c r="B41" s="20" t="s">
        <v>24</v>
      </c>
    </row>
    <row r="42" spans="1:7" x14ac:dyDescent="0.2">
      <c r="A42" s="20" t="s">
        <v>25</v>
      </c>
      <c r="B42" s="20">
        <f>B30</f>
        <v>673081.23672737496</v>
      </c>
    </row>
    <row r="43" spans="1:7" x14ac:dyDescent="0.2">
      <c r="A43" s="20" t="s">
        <v>28</v>
      </c>
      <c r="B43" s="20">
        <f>F20</f>
        <v>599274.80640416383</v>
      </c>
    </row>
    <row r="44" spans="1:7" x14ac:dyDescent="0.2">
      <c r="A44" s="20"/>
      <c r="B44" s="33">
        <f>B42/B43</f>
        <v>1.1231595747634926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368256.00000000006</v>
      </c>
      <c r="C48" s="20"/>
    </row>
    <row r="49" spans="1:6" x14ac:dyDescent="0.2">
      <c r="A49" s="20" t="s">
        <v>40</v>
      </c>
      <c r="B49" s="20">
        <f>I29</f>
        <v>967530.80640416383</v>
      </c>
      <c r="C49" s="20"/>
    </row>
    <row r="50" spans="1:6" x14ac:dyDescent="0.2">
      <c r="A50" s="20"/>
      <c r="B50" s="32">
        <f>B48/B49</f>
        <v>0.38061423735811212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599274.80640416383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967530.80640416383</v>
      </c>
      <c r="C55" s="20"/>
    </row>
    <row r="56" spans="1:6" x14ac:dyDescent="0.2">
      <c r="A56" s="20"/>
      <c r="B56" s="32">
        <f>B54/B55</f>
        <v>0.61938576264188794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L7</f>
        <v>18796.8</v>
      </c>
    </row>
    <row r="61" spans="1:6" x14ac:dyDescent="0.2">
      <c r="A61" s="20" t="s">
        <v>41</v>
      </c>
      <c r="B61" s="20">
        <f>E2</f>
        <v>617053.81499999994</v>
      </c>
      <c r="F61" s="20"/>
    </row>
    <row r="62" spans="1:6" x14ac:dyDescent="0.2">
      <c r="A62" s="20"/>
      <c r="B62" s="33">
        <f>B60/B61</f>
        <v>3.0462172898161242E-2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1566.3999999999999</v>
      </c>
    </row>
    <row r="67" spans="1:6" x14ac:dyDescent="0.2">
      <c r="A67" s="20" t="s">
        <v>42</v>
      </c>
      <c r="B67" s="20">
        <f>B61/12</f>
        <v>51421.151249999995</v>
      </c>
    </row>
    <row r="68" spans="1:6" x14ac:dyDescent="0.2">
      <c r="A68" s="20"/>
      <c r="B68" s="33">
        <f>B66/B67</f>
        <v>3.0462172898161239E-2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673081.23672737496</v>
      </c>
    </row>
    <row r="73" spans="1:6" x14ac:dyDescent="0.2">
      <c r="A73" s="20" t="s">
        <v>15</v>
      </c>
      <c r="B73" s="20">
        <f>E2</f>
        <v>617053.81499999994</v>
      </c>
    </row>
    <row r="74" spans="1:6" x14ac:dyDescent="0.2">
      <c r="A74" s="20"/>
      <c r="B74" s="32">
        <f>B72/B73</f>
        <v>1.0907982745838385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G38</f>
        <v>294449.56967678887</v>
      </c>
      <c r="C78" s="20"/>
    </row>
    <row r="79" spans="1:6" x14ac:dyDescent="0.2">
      <c r="A79" s="20" t="s">
        <v>28</v>
      </c>
      <c r="B79" s="20">
        <f>B43</f>
        <v>599274.80640416383</v>
      </c>
      <c r="C79" s="20"/>
    </row>
    <row r="80" spans="1:6" x14ac:dyDescent="0.2">
      <c r="A80" s="20"/>
      <c r="B80" s="32">
        <f>B78/B79</f>
        <v>0.4913431476346859</v>
      </c>
      <c r="C80" s="20"/>
    </row>
    <row r="90" spans="1:5" ht="15" thickBot="1" x14ac:dyDescent="0.25">
      <c r="A90" s="43">
        <f>A91-B107</f>
        <v>448053.81499999994</v>
      </c>
    </row>
    <row r="91" spans="1:5" ht="21" thickTop="1" thickBot="1" x14ac:dyDescent="0.25">
      <c r="A91" s="44">
        <f>E2</f>
        <v>617053.81499999994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148053.81499999994</v>
      </c>
      <c r="D95" s="46">
        <v>0.1</v>
      </c>
      <c r="E95" s="47">
        <f t="shared" si="0"/>
        <v>14805.381499999996</v>
      </c>
    </row>
    <row r="96" spans="1:5" x14ac:dyDescent="0.2">
      <c r="B96" s="45" t="s">
        <v>128</v>
      </c>
      <c r="C96" s="7">
        <f>IF((A90-C93-C94-C95)&gt;=250000,250000,(A90-C93-C94-C95))</f>
        <v>0</v>
      </c>
      <c r="D96" s="46">
        <v>0.15</v>
      </c>
      <c r="E96" s="47">
        <f t="shared" si="0"/>
        <v>0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0</v>
      </c>
      <c r="D97" s="46">
        <v>0.2</v>
      </c>
      <c r="E97" s="47">
        <f t="shared" si="0"/>
        <v>0</v>
      </c>
    </row>
    <row r="98" spans="1:5" x14ac:dyDescent="0.2">
      <c r="B98" s="45" t="s">
        <v>130</v>
      </c>
      <c r="C98" s="7">
        <f>IF((A90-C93-C94-C95-C96-C97)&gt;=1000000,1000000,(A90-C93-C94-C95-C96-C97))</f>
        <v>0</v>
      </c>
      <c r="D98" s="46">
        <v>0.25</v>
      </c>
      <c r="E98" s="47">
        <f t="shared" si="0"/>
        <v>0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22305.381499999996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B107" s="42">
        <f>SUM(B104:B106)</f>
        <v>169000</v>
      </c>
    </row>
  </sheetData>
  <mergeCells count="1">
    <mergeCell ref="A103:B103"/>
  </mergeCells>
  <conditionalFormatting sqref="B32">
    <cfRule type="cellIs" dxfId="208" priority="18" operator="greaterThan">
      <formula>0.9999999999</formula>
    </cfRule>
    <cfRule type="cellIs" dxfId="207" priority="19" operator="lessThan">
      <formula>1</formula>
    </cfRule>
  </conditionalFormatting>
  <conditionalFormatting sqref="B38">
    <cfRule type="cellIs" dxfId="206" priority="16" operator="greaterThan">
      <formula>5.9999</formula>
    </cfRule>
    <cfRule type="cellIs" dxfId="205" priority="17" operator="lessThan">
      <formula>3</formula>
    </cfRule>
  </conditionalFormatting>
  <conditionalFormatting sqref="B44">
    <cfRule type="cellIs" dxfId="204" priority="13" operator="greaterThan">
      <formula>0.29</formula>
    </cfRule>
    <cfRule type="cellIs" dxfId="203" priority="14" operator="lessThan">
      <formula>0.05</formula>
    </cfRule>
    <cfRule type="cellIs" dxfId="202" priority="15" operator="greaterThan">
      <formula>0.049</formula>
    </cfRule>
  </conditionalFormatting>
  <conditionalFormatting sqref="B50">
    <cfRule type="cellIs" dxfId="201" priority="11" operator="greaterThan">
      <formula>0.49</formula>
    </cfRule>
    <cfRule type="cellIs" dxfId="200" priority="12" operator="lessThan">
      <formula>0.41</formula>
    </cfRule>
  </conditionalFormatting>
  <conditionalFormatting sqref="B56">
    <cfRule type="cellIs" dxfId="199" priority="9" operator="lessThan">
      <formula>0.41</formula>
    </cfRule>
    <cfRule type="cellIs" dxfId="198" priority="10" operator="greaterThan">
      <formula>0.59</formula>
    </cfRule>
  </conditionalFormatting>
  <conditionalFormatting sqref="B62">
    <cfRule type="cellIs" dxfId="197" priority="7" operator="greaterThan">
      <formula>0.39</formula>
    </cfRule>
    <cfRule type="cellIs" dxfId="196" priority="8" operator="lessThan">
      <formula>0.281</formula>
    </cfRule>
  </conditionalFormatting>
  <conditionalFormatting sqref="B68">
    <cfRule type="cellIs" dxfId="195" priority="5" operator="greaterThan">
      <formula>0.39</formula>
    </cfRule>
    <cfRule type="cellIs" dxfId="194" priority="6" operator="lessThan">
      <formula>0.281</formula>
    </cfRule>
  </conditionalFormatting>
  <conditionalFormatting sqref="B74">
    <cfRule type="cellIs" dxfId="193" priority="3" operator="lessThan">
      <formula>0.1</formula>
    </cfRule>
    <cfRule type="cellIs" dxfId="192" priority="4" operator="greaterThan">
      <formula>0.19</formula>
    </cfRule>
  </conditionalFormatting>
  <conditionalFormatting sqref="B80">
    <cfRule type="cellIs" dxfId="191" priority="1" operator="lessThan">
      <formula>0.3</formula>
    </cfRule>
    <cfRule type="cellIs" dxfId="190" priority="2" operator="greaterThan">
      <formula>0.49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7F34-179D-4CC2-9484-67969160CD6F}">
  <dimension ref="A1:L108"/>
  <sheetViews>
    <sheetView topLeftCell="D15" workbookViewId="0">
      <selection activeCell="C25" sqref="C25"/>
    </sheetView>
  </sheetViews>
  <sheetFormatPr defaultRowHeight="14.25" x14ac:dyDescent="0.2"/>
  <cols>
    <col min="1" max="1" width="15.625" customWidth="1"/>
    <col min="2" max="2" width="16.625" bestFit="1" customWidth="1"/>
    <col min="3" max="3" width="13.75" bestFit="1" customWidth="1"/>
    <col min="4" max="4" width="19.125" bestFit="1" customWidth="1"/>
    <col min="5" max="5" width="17.375" bestFit="1" customWidth="1"/>
    <col min="6" max="6" width="18.5" bestFit="1" customWidth="1"/>
    <col min="8" max="8" width="60.25" bestFit="1" customWidth="1"/>
    <col min="9" max="9" width="46.5" bestFit="1" customWidth="1"/>
    <col min="11" max="11" width="17.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DATA!D36</f>
        <v>6</v>
      </c>
      <c r="B2" s="11">
        <f>DATA!E36</f>
        <v>39564.728437500002</v>
      </c>
      <c r="C2" s="11">
        <f>DATA!F36</f>
        <v>474776.74125000002</v>
      </c>
      <c r="D2" s="11">
        <f>DATA!G36</f>
        <v>181374.03900000008</v>
      </c>
      <c r="E2" s="11">
        <f>DATA!H36</f>
        <v>656150.78025000007</v>
      </c>
      <c r="F2" s="11">
        <f>DATA!I36</f>
        <v>54679.231687500003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'5'!I21+F10</f>
        <v>911406.23895237502</v>
      </c>
      <c r="K4" s="4" t="s">
        <v>62</v>
      </c>
      <c r="L4" s="4">
        <f>DATA!G8</f>
        <v>20563.2</v>
      </c>
    </row>
    <row r="5" spans="1:12" x14ac:dyDescent="0.2">
      <c r="H5" s="4" t="s">
        <v>50</v>
      </c>
      <c r="I5" s="4" t="s">
        <v>66</v>
      </c>
      <c r="L5" s="4"/>
    </row>
    <row r="7" spans="1:12" x14ac:dyDescent="0.2">
      <c r="H7" s="4"/>
      <c r="I7" s="4" t="s">
        <v>51</v>
      </c>
      <c r="K7" s="25" t="s">
        <v>65</v>
      </c>
      <c r="L7" s="25">
        <f>SUM(L4:L5)</f>
        <v>20563.2</v>
      </c>
    </row>
    <row r="8" spans="1:12" x14ac:dyDescent="0.2">
      <c r="C8" s="2">
        <v>10</v>
      </c>
      <c r="H8" s="4" t="s">
        <v>52</v>
      </c>
      <c r="I8" s="4"/>
    </row>
    <row r="9" spans="1:12" x14ac:dyDescent="0.2">
      <c r="B9" t="s">
        <v>81</v>
      </c>
      <c r="C9">
        <v>12</v>
      </c>
      <c r="H9" s="4" t="s">
        <v>53</v>
      </c>
      <c r="I9" s="4"/>
      <c r="K9" s="4"/>
      <c r="L9" s="4" t="s">
        <v>63</v>
      </c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238325.00222500006</v>
      </c>
      <c r="K10" s="4" t="s">
        <v>62</v>
      </c>
      <c r="L10" s="4">
        <f>DATA!G18-SUM(DATA!G3:G8)</f>
        <v>328896.00000000006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L11" s="4"/>
    </row>
    <row r="12" spans="1:12" x14ac:dyDescent="0.2">
      <c r="A12" t="s">
        <v>69</v>
      </c>
      <c r="B12">
        <v>1920</v>
      </c>
      <c r="C12">
        <f>B12*$C$9</f>
        <v>23040</v>
      </c>
      <c r="H12" s="4" t="s">
        <v>55</v>
      </c>
      <c r="I12" s="4"/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s="25" t="s">
        <v>64</v>
      </c>
      <c r="L13" s="25">
        <f>SUM(L10:L11)</f>
        <v>328896.00000000006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DATA!C66</f>
        <v>1000</v>
      </c>
      <c r="C15">
        <f>B15*C9</f>
        <v>12000</v>
      </c>
      <c r="H15" s="4" t="s">
        <v>58</v>
      </c>
      <c r="I15" s="4"/>
    </row>
    <row r="17" spans="1:12" x14ac:dyDescent="0.2">
      <c r="A17" t="s">
        <v>62</v>
      </c>
      <c r="B17">
        <f>C17/C9</f>
        <v>1713.6000000000001</v>
      </c>
      <c r="C17">
        <f>L7</f>
        <v>20563.2</v>
      </c>
      <c r="H17" s="4"/>
      <c r="I17" s="4" t="s">
        <v>59</v>
      </c>
    </row>
    <row r="18" spans="1:12" x14ac:dyDescent="0.2"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2000</v>
      </c>
      <c r="C20">
        <f>B20*$C$9</f>
        <v>24000</v>
      </c>
      <c r="E20" s="20" t="s">
        <v>28</v>
      </c>
      <c r="F20" s="19">
        <f>I29-L21</f>
        <v>866702.34356785135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(SUM(I4:I5)+SUM(I8:I9)+SUM(I12:I15)+SUM(I18))-G33</f>
        <v>789338.85905093746</v>
      </c>
      <c r="K21" s="23" t="s">
        <v>37</v>
      </c>
      <c r="L21" s="23">
        <f>L7+L13</f>
        <v>349459.20000000007</v>
      </c>
    </row>
    <row r="22" spans="1:12" ht="15" thickTop="1" x14ac:dyDescent="0.2">
      <c r="A22" t="s">
        <v>83</v>
      </c>
      <c r="B22">
        <v>350</v>
      </c>
      <c r="C22">
        <f>B22*C9</f>
        <v>4200</v>
      </c>
    </row>
    <row r="23" spans="1:12" x14ac:dyDescent="0.2">
      <c r="A23" t="s">
        <v>117</v>
      </c>
      <c r="B23">
        <v>7000</v>
      </c>
      <c r="C23">
        <f>B23*C9</f>
        <v>84000</v>
      </c>
    </row>
    <row r="24" spans="1:12" x14ac:dyDescent="0.2">
      <c r="F24" s="20"/>
    </row>
    <row r="25" spans="1:12" x14ac:dyDescent="0.2">
      <c r="A25" t="s">
        <v>133</v>
      </c>
      <c r="C25" s="8">
        <f>E101</f>
        <v>23984.578025000006</v>
      </c>
      <c r="F25" s="20"/>
    </row>
    <row r="26" spans="1:12" x14ac:dyDescent="0.2">
      <c r="B26" s="4" t="s">
        <v>84</v>
      </c>
      <c r="C26" s="41">
        <f>SUM(C10:C25)</f>
        <v>417825.77802500001</v>
      </c>
    </row>
    <row r="27" spans="1:12" x14ac:dyDescent="0.2">
      <c r="B27" s="4" t="s">
        <v>85</v>
      </c>
      <c r="C27" s="41">
        <f>C26/C9</f>
        <v>34818.81483541667</v>
      </c>
      <c r="G27" s="22">
        <v>0.5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789338.85905093746</v>
      </c>
      <c r="E29">
        <v>2</v>
      </c>
      <c r="F29" t="s">
        <v>137</v>
      </c>
      <c r="G29">
        <f>DATA!B155</f>
        <v>56631.638485472075</v>
      </c>
      <c r="I29" s="19">
        <f>I21+G38</f>
        <v>1216161.5435678514</v>
      </c>
    </row>
    <row r="30" spans="1:12" x14ac:dyDescent="0.2">
      <c r="A30" s="20" t="s">
        <v>25</v>
      </c>
      <c r="B30" s="20">
        <f>I21</f>
        <v>789338.85905093746</v>
      </c>
      <c r="C30" s="20"/>
      <c r="E30">
        <v>3</v>
      </c>
      <c r="F30" t="s">
        <v>137</v>
      </c>
      <c r="G30">
        <f>DATA!C155</f>
        <v>52284.521626096815</v>
      </c>
    </row>
    <row r="31" spans="1:12" x14ac:dyDescent="0.2">
      <c r="A31" s="20" t="s">
        <v>26</v>
      </c>
      <c r="B31" s="20">
        <f>L7</f>
        <v>20563.2</v>
      </c>
      <c r="C31" s="20"/>
      <c r="E31">
        <v>4</v>
      </c>
      <c r="F31" t="s">
        <v>137</v>
      </c>
      <c r="G31">
        <f>DATA!D155</f>
        <v>97596.312323190738</v>
      </c>
    </row>
    <row r="32" spans="1:12" x14ac:dyDescent="0.2">
      <c r="A32" s="20"/>
      <c r="B32" s="21">
        <f>B30/B31</f>
        <v>38.385993378994392</v>
      </c>
      <c r="C32" s="20" t="s">
        <v>87</v>
      </c>
      <c r="E32">
        <v>5</v>
      </c>
      <c r="F32" t="s">
        <v>137</v>
      </c>
      <c r="G32">
        <f>DATA!E155</f>
        <v>98242.83218071684</v>
      </c>
    </row>
    <row r="33" spans="1:7" x14ac:dyDescent="0.2">
      <c r="A33" s="20"/>
      <c r="B33" s="20"/>
      <c r="C33" s="20"/>
      <c r="D33" s="20"/>
      <c r="E33" s="20">
        <v>6</v>
      </c>
      <c r="F33" t="s">
        <v>138</v>
      </c>
      <c r="G33">
        <f>DATA!F155</f>
        <v>122067.37990143753</v>
      </c>
    </row>
    <row r="34" spans="1:7" x14ac:dyDescent="0.2">
      <c r="A34" s="20"/>
      <c r="B34" s="20" t="s">
        <v>20</v>
      </c>
      <c r="C34" s="20"/>
    </row>
    <row r="35" spans="1:7" x14ac:dyDescent="0.2">
      <c r="A35" s="20"/>
      <c r="B35" s="20" t="s">
        <v>23</v>
      </c>
      <c r="C35" s="20"/>
    </row>
    <row r="36" spans="1:7" x14ac:dyDescent="0.2">
      <c r="A36" s="20" t="s">
        <v>25</v>
      </c>
      <c r="B36" s="20">
        <f>B30</f>
        <v>789338.85905093746</v>
      </c>
      <c r="C36" s="20"/>
    </row>
    <row r="37" spans="1:7" x14ac:dyDescent="0.2">
      <c r="A37" s="20" t="s">
        <v>27</v>
      </c>
      <c r="B37" s="20">
        <f>C27</f>
        <v>34818.81483541667</v>
      </c>
      <c r="C37" s="20"/>
    </row>
    <row r="38" spans="1:7" x14ac:dyDescent="0.2">
      <c r="A38" s="20"/>
      <c r="B38" s="21">
        <f>B36/B37</f>
        <v>22.669894503360446</v>
      </c>
      <c r="C38" s="20" t="s">
        <v>87</v>
      </c>
      <c r="G38">
        <f>SUM(G29:G37)</f>
        <v>426822.68451691396</v>
      </c>
    </row>
    <row r="40" spans="1:7" x14ac:dyDescent="0.2">
      <c r="A40" s="20"/>
      <c r="B40" s="20" t="s">
        <v>21</v>
      </c>
    </row>
    <row r="41" spans="1:7" x14ac:dyDescent="0.2">
      <c r="A41" s="20"/>
      <c r="B41" s="20" t="s">
        <v>24</v>
      </c>
    </row>
    <row r="42" spans="1:7" x14ac:dyDescent="0.2">
      <c r="A42" s="20" t="s">
        <v>25</v>
      </c>
      <c r="B42" s="20">
        <f>B30</f>
        <v>789338.85905093746</v>
      </c>
    </row>
    <row r="43" spans="1:7" x14ac:dyDescent="0.2">
      <c r="A43" s="20" t="s">
        <v>28</v>
      </c>
      <c r="B43" s="20">
        <f>F20</f>
        <v>866702.34356785135</v>
      </c>
    </row>
    <row r="44" spans="1:7" x14ac:dyDescent="0.2">
      <c r="A44" s="20"/>
      <c r="B44" s="32">
        <f>B42/B43</f>
        <v>0.91073811546598482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349459.20000000007</v>
      </c>
      <c r="C48" s="20"/>
    </row>
    <row r="49" spans="1:6" x14ac:dyDescent="0.2">
      <c r="A49" s="20" t="s">
        <v>40</v>
      </c>
      <c r="B49" s="20">
        <f>I29</f>
        <v>1216161.5435678514</v>
      </c>
      <c r="C49" s="20"/>
    </row>
    <row r="50" spans="1:6" x14ac:dyDescent="0.2">
      <c r="A50" s="20"/>
      <c r="B50" s="32">
        <f>B48/B49</f>
        <v>0.2873460370854945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866702.34356785135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1216161.5435678514</v>
      </c>
      <c r="C55" s="20"/>
    </row>
    <row r="56" spans="1:6" x14ac:dyDescent="0.2">
      <c r="A56" s="20"/>
      <c r="B56" s="32">
        <f>B54/B55</f>
        <v>0.71265396291450545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L7</f>
        <v>20563.2</v>
      </c>
    </row>
    <row r="61" spans="1:6" x14ac:dyDescent="0.2">
      <c r="A61" s="20" t="s">
        <v>41</v>
      </c>
      <c r="B61" s="20">
        <f>E2</f>
        <v>656150.78025000007</v>
      </c>
      <c r="F61" s="20"/>
    </row>
    <row r="62" spans="1:6" x14ac:dyDescent="0.2">
      <c r="A62" s="20"/>
      <c r="B62" s="33">
        <f>B60/B61</f>
        <v>3.1339138226986814E-2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1713.6000000000001</v>
      </c>
    </row>
    <row r="67" spans="1:6" x14ac:dyDescent="0.2">
      <c r="A67" s="20" t="s">
        <v>42</v>
      </c>
      <c r="B67" s="20">
        <f>B61/12</f>
        <v>54679.231687500003</v>
      </c>
    </row>
    <row r="68" spans="1:6" x14ac:dyDescent="0.2">
      <c r="A68" s="20"/>
      <c r="B68" s="33">
        <f>B66/B67</f>
        <v>3.1339138226986814E-2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789338.85905093746</v>
      </c>
    </row>
    <row r="73" spans="1:6" x14ac:dyDescent="0.2">
      <c r="A73" s="20" t="s">
        <v>15</v>
      </c>
      <c r="B73" s="20">
        <f>E2</f>
        <v>656150.78025000007</v>
      </c>
    </row>
    <row r="74" spans="1:6" x14ac:dyDescent="0.2">
      <c r="A74" s="20"/>
      <c r="B74" s="32">
        <f>B72/B73</f>
        <v>1.2029839524845058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G38</f>
        <v>426822.68451691396</v>
      </c>
      <c r="C78" s="20"/>
    </row>
    <row r="79" spans="1:6" x14ac:dyDescent="0.2">
      <c r="A79" s="20" t="s">
        <v>28</v>
      </c>
      <c r="B79" s="20">
        <f>B43</f>
        <v>866702.34356785135</v>
      </c>
      <c r="C79" s="20"/>
    </row>
    <row r="80" spans="1:6" x14ac:dyDescent="0.2">
      <c r="A80" s="20"/>
      <c r="B80" s="32">
        <f>B78/B79</f>
        <v>0.49246744015928623</v>
      </c>
      <c r="C80" s="20"/>
    </row>
    <row r="90" spans="1:5" ht="15" thickBot="1" x14ac:dyDescent="0.25">
      <c r="A90" s="43">
        <f>A91-B108</f>
        <v>464845.78025000007</v>
      </c>
    </row>
    <row r="91" spans="1:5" ht="21" thickTop="1" thickBot="1" x14ac:dyDescent="0.25">
      <c r="A91" s="44">
        <f>E2</f>
        <v>656150.78025000007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164845.78025000007</v>
      </c>
      <c r="D95" s="46">
        <v>0.1</v>
      </c>
      <c r="E95" s="47">
        <f t="shared" si="0"/>
        <v>16484.578025000006</v>
      </c>
    </row>
    <row r="96" spans="1:5" x14ac:dyDescent="0.2">
      <c r="B96" s="45" t="s">
        <v>128</v>
      </c>
      <c r="C96" s="7">
        <f>IF((A90-C93-C94-C95)&gt;=250000,250000,(A90-C93-C94-C95))</f>
        <v>0</v>
      </c>
      <c r="D96" s="46">
        <v>0.15</v>
      </c>
      <c r="E96" s="47">
        <f t="shared" si="0"/>
        <v>0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0</v>
      </c>
      <c r="D97" s="46">
        <v>0.2</v>
      </c>
      <c r="E97" s="47">
        <f t="shared" si="0"/>
        <v>0</v>
      </c>
    </row>
    <row r="98" spans="1:5" x14ac:dyDescent="0.2">
      <c r="B98" s="45" t="s">
        <v>130</v>
      </c>
      <c r="C98" s="7">
        <f>IF((A90-C93-C94-C95-C96-C97)&gt;=1000000,1000000,(A90-C93-C94-C95-C96-C97))</f>
        <v>0</v>
      </c>
      <c r="D98" s="46">
        <v>0.25</v>
      </c>
      <c r="E98" s="47">
        <f t="shared" si="0"/>
        <v>0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23984.578025000006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A107" s="4" t="s">
        <v>134</v>
      </c>
      <c r="B107" s="4">
        <f>DATA!E137</f>
        <v>22305</v>
      </c>
    </row>
    <row r="108" spans="1:5" x14ac:dyDescent="0.2">
      <c r="B108" s="42">
        <f>SUM(B104:B107)</f>
        <v>191305</v>
      </c>
    </row>
  </sheetData>
  <mergeCells count="1">
    <mergeCell ref="A103:B103"/>
  </mergeCells>
  <conditionalFormatting sqref="B32">
    <cfRule type="cellIs" dxfId="189" priority="18" operator="greaterThan">
      <formula>0.9999999999</formula>
    </cfRule>
    <cfRule type="cellIs" dxfId="188" priority="19" operator="lessThan">
      <formula>1</formula>
    </cfRule>
  </conditionalFormatting>
  <conditionalFormatting sqref="B38">
    <cfRule type="cellIs" dxfId="187" priority="16" operator="greaterThan">
      <formula>5.9999</formula>
    </cfRule>
    <cfRule type="cellIs" dxfId="186" priority="17" operator="lessThan">
      <formula>3</formula>
    </cfRule>
  </conditionalFormatting>
  <conditionalFormatting sqref="B44">
    <cfRule type="cellIs" dxfId="185" priority="13" operator="greaterThan">
      <formula>0.29</formula>
    </cfRule>
    <cfRule type="cellIs" dxfId="184" priority="14" operator="lessThan">
      <formula>0.05</formula>
    </cfRule>
    <cfRule type="cellIs" dxfId="183" priority="15" operator="greaterThan">
      <formula>0.049</formula>
    </cfRule>
  </conditionalFormatting>
  <conditionalFormatting sqref="B50">
    <cfRule type="cellIs" dxfId="182" priority="11" operator="greaterThan">
      <formula>0.49</formula>
    </cfRule>
    <cfRule type="cellIs" dxfId="181" priority="12" operator="lessThan">
      <formula>0.41</formula>
    </cfRule>
  </conditionalFormatting>
  <conditionalFormatting sqref="B56">
    <cfRule type="cellIs" dxfId="180" priority="9" operator="lessThan">
      <formula>0.41</formula>
    </cfRule>
    <cfRule type="cellIs" dxfId="179" priority="10" operator="greaterThan">
      <formula>0.59</formula>
    </cfRule>
  </conditionalFormatting>
  <conditionalFormatting sqref="B62">
    <cfRule type="cellIs" dxfId="178" priority="7" operator="greaterThan">
      <formula>0.39</formula>
    </cfRule>
    <cfRule type="cellIs" dxfId="177" priority="8" operator="lessThan">
      <formula>0.281</formula>
    </cfRule>
  </conditionalFormatting>
  <conditionalFormatting sqref="B68">
    <cfRule type="cellIs" dxfId="176" priority="5" operator="greaterThan">
      <formula>0.39</formula>
    </cfRule>
    <cfRule type="cellIs" dxfId="175" priority="6" operator="lessThan">
      <formula>0.281</formula>
    </cfRule>
  </conditionalFormatting>
  <conditionalFormatting sqref="B74">
    <cfRule type="cellIs" dxfId="174" priority="3" operator="lessThan">
      <formula>0.1</formula>
    </cfRule>
    <cfRule type="cellIs" dxfId="173" priority="4" operator="greaterThan">
      <formula>0.19</formula>
    </cfRule>
  </conditionalFormatting>
  <conditionalFormatting sqref="B80">
    <cfRule type="cellIs" dxfId="172" priority="1" operator="lessThan">
      <formula>0.3</formula>
    </cfRule>
    <cfRule type="cellIs" dxfId="171" priority="2" operator="greaterThan">
      <formula>0.49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FA8E-3D26-49D9-AB7B-4F5E75F46546}">
  <dimension ref="A1:L107"/>
  <sheetViews>
    <sheetView topLeftCell="E10" workbookViewId="0">
      <selection activeCell="E33" sqref="E33"/>
    </sheetView>
  </sheetViews>
  <sheetFormatPr defaultRowHeight="14.25" x14ac:dyDescent="0.2"/>
  <cols>
    <col min="1" max="1" width="28.75" bestFit="1" customWidth="1"/>
    <col min="2" max="2" width="16.625" bestFit="1" customWidth="1"/>
    <col min="3" max="3" width="13.75" bestFit="1" customWidth="1"/>
    <col min="4" max="4" width="19.125" bestFit="1" customWidth="1"/>
    <col min="5" max="5" width="17.375" bestFit="1" customWidth="1"/>
    <col min="6" max="6" width="18.5" bestFit="1" customWidth="1"/>
    <col min="8" max="8" width="60.25" bestFit="1" customWidth="1"/>
    <col min="9" max="9" width="46.5" bestFit="1" customWidth="1"/>
    <col min="11" max="11" width="23.62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DATA!D37</f>
        <v>7</v>
      </c>
      <c r="B2" s="11">
        <f>DATA!E37</f>
        <v>41542.964859375003</v>
      </c>
      <c r="C2" s="11">
        <f>DATA!F37</f>
        <v>498515.57831250003</v>
      </c>
      <c r="D2" s="11">
        <f>DATA!G37</f>
        <v>217648.84680000009</v>
      </c>
      <c r="E2" s="11">
        <f>DATA!H37</f>
        <v>716164.42511250009</v>
      </c>
      <c r="F2" s="11">
        <f>DATA!I37</f>
        <v>59680.368759375007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'6'!I21+F10</f>
        <v>924896.22039656248</v>
      </c>
      <c r="K4" s="4" t="s">
        <v>62</v>
      </c>
      <c r="L4" s="4">
        <f>DATA!G9</f>
        <v>22310.400000000001</v>
      </c>
    </row>
    <row r="5" spans="1:12" x14ac:dyDescent="0.2">
      <c r="H5" s="4" t="s">
        <v>50</v>
      </c>
      <c r="I5" s="4" t="s">
        <v>66</v>
      </c>
      <c r="K5" t="s">
        <v>112</v>
      </c>
      <c r="L5" s="4">
        <f>DATA!C96</f>
        <v>150444</v>
      </c>
    </row>
    <row r="7" spans="1:12" x14ac:dyDescent="0.2">
      <c r="H7" s="4"/>
      <c r="I7" s="4" t="s">
        <v>51</v>
      </c>
      <c r="K7" s="25" t="s">
        <v>65</v>
      </c>
      <c r="L7" s="25">
        <f>SUM(L4:L5)</f>
        <v>172754.4</v>
      </c>
    </row>
    <row r="8" spans="1:12" x14ac:dyDescent="0.2">
      <c r="C8" s="2">
        <v>10</v>
      </c>
      <c r="H8" s="4" t="s">
        <v>52</v>
      </c>
      <c r="I8" s="4"/>
    </row>
    <row r="9" spans="1:12" x14ac:dyDescent="0.2">
      <c r="B9" t="s">
        <v>81</v>
      </c>
      <c r="C9">
        <v>12</v>
      </c>
      <c r="H9" s="4" t="s">
        <v>53</v>
      </c>
      <c r="I9" s="4"/>
      <c r="K9" s="4"/>
      <c r="L9" s="4" t="s">
        <v>63</v>
      </c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135557.36134562502</v>
      </c>
      <c r="K10" s="4" t="s">
        <v>62</v>
      </c>
      <c r="L10" s="4">
        <f>DATA!G18-SUM(DATA!G3:G9)</f>
        <v>306585.60000000009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t="s">
        <v>112</v>
      </c>
      <c r="L11" s="4">
        <f>DATA!C103-L5</f>
        <v>902664</v>
      </c>
    </row>
    <row r="12" spans="1:12" x14ac:dyDescent="0.2">
      <c r="A12" t="s">
        <v>69</v>
      </c>
      <c r="B12">
        <v>1920</v>
      </c>
      <c r="C12">
        <f>B12*$C$9</f>
        <v>23040</v>
      </c>
      <c r="H12" s="4" t="s">
        <v>55</v>
      </c>
      <c r="I12" s="4"/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s="25" t="s">
        <v>64</v>
      </c>
      <c r="L13" s="25">
        <f>SUM(L10:L11)</f>
        <v>1209249.6000000001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DATA!C66</f>
        <v>1000</v>
      </c>
      <c r="C15">
        <f>B15*C9</f>
        <v>12000</v>
      </c>
      <c r="H15" s="4" t="s">
        <v>58</v>
      </c>
      <c r="I15" s="4"/>
    </row>
    <row r="16" spans="1:12" x14ac:dyDescent="0.2">
      <c r="A16" t="s">
        <v>62</v>
      </c>
      <c r="B16">
        <f>C16/C9</f>
        <v>1859.2</v>
      </c>
      <c r="C16">
        <f>L4</f>
        <v>22310.400000000001</v>
      </c>
    </row>
    <row r="17" spans="1:12" x14ac:dyDescent="0.2">
      <c r="A17" t="s">
        <v>112</v>
      </c>
      <c r="B17">
        <f>C17/12</f>
        <v>12537</v>
      </c>
      <c r="C17">
        <f>L5</f>
        <v>150444</v>
      </c>
      <c r="H17" s="4"/>
      <c r="I17" s="4" t="s">
        <v>59</v>
      </c>
    </row>
    <row r="18" spans="1:12" x14ac:dyDescent="0.2"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2000</v>
      </c>
      <c r="C20">
        <f>B20*$C$9</f>
        <v>24000</v>
      </c>
      <c r="E20" s="20" t="s">
        <v>28</v>
      </c>
      <c r="F20" s="19">
        <f>I30-L21</f>
        <v>805038.82812156854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(SUM(I4:I5)+SUM(I8:I9)+SUM(I12:I15)+SUM(I18))-G34-I23</f>
        <v>592022.09612717875</v>
      </c>
      <c r="K21" s="23" t="s">
        <v>37</v>
      </c>
      <c r="L21" s="23">
        <f>L7+L13</f>
        <v>1382004</v>
      </c>
    </row>
    <row r="22" spans="1:12" ht="15" thickTop="1" x14ac:dyDescent="0.2">
      <c r="A22" t="s">
        <v>83</v>
      </c>
      <c r="B22">
        <v>350</v>
      </c>
      <c r="C22">
        <f>B22*C9</f>
        <v>4200</v>
      </c>
    </row>
    <row r="23" spans="1:12" x14ac:dyDescent="0.2">
      <c r="A23" t="s">
        <v>117</v>
      </c>
      <c r="B23">
        <v>7000</v>
      </c>
      <c r="C23">
        <f>B23*C9</f>
        <v>84000</v>
      </c>
      <c r="H23" t="s">
        <v>102</v>
      </c>
      <c r="I23" s="19">
        <f>DATA!C98</f>
        <v>273500</v>
      </c>
    </row>
    <row r="24" spans="1:12" x14ac:dyDescent="0.2">
      <c r="F24" s="20"/>
    </row>
    <row r="25" spans="1:12" x14ac:dyDescent="0.2">
      <c r="A25" t="s">
        <v>133</v>
      </c>
      <c r="C25" s="8">
        <f>E101</f>
        <v>34574.663766875012</v>
      </c>
      <c r="F25" s="20"/>
    </row>
    <row r="26" spans="1:12" x14ac:dyDescent="0.2">
      <c r="B26" s="4" t="s">
        <v>84</v>
      </c>
      <c r="C26" s="41">
        <f>SUM(C10:C25)</f>
        <v>580607.06376687507</v>
      </c>
    </row>
    <row r="27" spans="1:12" x14ac:dyDescent="0.2">
      <c r="B27" s="4" t="s">
        <v>85</v>
      </c>
      <c r="C27" s="41">
        <f>C26/C9</f>
        <v>48383.921980572923</v>
      </c>
      <c r="G27" s="22">
        <v>0.4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592022.09612717875</v>
      </c>
      <c r="E29">
        <v>2</v>
      </c>
      <c r="F29" t="s">
        <v>137</v>
      </c>
      <c r="G29">
        <f>DATA!B156</f>
        <v>58613.745832463603</v>
      </c>
      <c r="I29">
        <f>DATA!C90</f>
        <v>1094000</v>
      </c>
    </row>
    <row r="30" spans="1:12" x14ac:dyDescent="0.2">
      <c r="A30" s="20" t="s">
        <v>25</v>
      </c>
      <c r="B30" s="20">
        <f>I21</f>
        <v>592022.09612717875</v>
      </c>
      <c r="C30" s="20"/>
      <c r="E30">
        <v>3</v>
      </c>
      <c r="F30" t="s">
        <v>137</v>
      </c>
      <c r="G30">
        <f>DATA!C156</f>
        <v>54114.479883010201</v>
      </c>
      <c r="I30" s="19">
        <f>I21+G38+I29</f>
        <v>2187042.8281215685</v>
      </c>
    </row>
    <row r="31" spans="1:12" x14ac:dyDescent="0.2">
      <c r="A31" s="20" t="s">
        <v>26</v>
      </c>
      <c r="B31" s="20">
        <f>L7</f>
        <v>172754.4</v>
      </c>
      <c r="C31" s="20"/>
      <c r="E31">
        <v>4</v>
      </c>
      <c r="F31" t="s">
        <v>137</v>
      </c>
      <c r="G31">
        <f>DATA!D156</f>
        <v>101012.18325450241</v>
      </c>
    </row>
    <row r="32" spans="1:12" x14ac:dyDescent="0.2">
      <c r="A32" s="20"/>
      <c r="B32" s="21">
        <f>B30/B31</f>
        <v>3.426958133206325</v>
      </c>
      <c r="C32" s="20" t="s">
        <v>87</v>
      </c>
      <c r="E32">
        <v>5</v>
      </c>
      <c r="F32" t="s">
        <v>137</v>
      </c>
      <c r="G32">
        <f>DATA!E156</f>
        <v>101681.33130704191</v>
      </c>
    </row>
    <row r="33" spans="1:7" x14ac:dyDescent="0.2">
      <c r="A33" s="20"/>
      <c r="B33" s="20"/>
      <c r="C33" s="20"/>
      <c r="D33" s="20"/>
      <c r="E33" s="20">
        <v>6</v>
      </c>
      <c r="F33" t="s">
        <v>138</v>
      </c>
      <c r="G33">
        <f>DATA!F156</f>
        <v>126224.86744798784</v>
      </c>
    </row>
    <row r="34" spans="1:7" x14ac:dyDescent="0.2">
      <c r="A34" s="20"/>
      <c r="B34" s="20" t="s">
        <v>20</v>
      </c>
      <c r="C34" s="20"/>
      <c r="E34">
        <v>7</v>
      </c>
      <c r="F34" t="s">
        <v>136</v>
      </c>
      <c r="G34">
        <f>DATA!G156</f>
        <v>59374.124269383763</v>
      </c>
    </row>
    <row r="35" spans="1:7" x14ac:dyDescent="0.2">
      <c r="A35" s="20"/>
      <c r="B35" s="20" t="s">
        <v>23</v>
      </c>
      <c r="C35" s="20"/>
    </row>
    <row r="36" spans="1:7" x14ac:dyDescent="0.2">
      <c r="A36" s="20" t="s">
        <v>25</v>
      </c>
      <c r="B36" s="20">
        <f>B30</f>
        <v>592022.09612717875</v>
      </c>
      <c r="C36" s="20"/>
    </row>
    <row r="37" spans="1:7" x14ac:dyDescent="0.2">
      <c r="A37" s="20" t="s">
        <v>27</v>
      </c>
      <c r="B37" s="20">
        <f>C27</f>
        <v>48383.921980572923</v>
      </c>
      <c r="C37" s="20"/>
    </row>
    <row r="38" spans="1:7" x14ac:dyDescent="0.2">
      <c r="A38" s="20"/>
      <c r="B38" s="21">
        <f>B36/B37</f>
        <v>12.235926148460784</v>
      </c>
      <c r="C38" s="20" t="s">
        <v>87</v>
      </c>
      <c r="G38">
        <f>SUM(G29:G37)</f>
        <v>501020.73199438973</v>
      </c>
    </row>
    <row r="40" spans="1:7" x14ac:dyDescent="0.2">
      <c r="A40" s="20"/>
      <c r="B40" s="20" t="s">
        <v>21</v>
      </c>
    </row>
    <row r="41" spans="1:7" x14ac:dyDescent="0.2">
      <c r="A41" s="20"/>
      <c r="B41" s="20" t="s">
        <v>24</v>
      </c>
    </row>
    <row r="42" spans="1:7" x14ac:dyDescent="0.2">
      <c r="A42" s="20" t="s">
        <v>25</v>
      </c>
      <c r="B42" s="20">
        <f>B30</f>
        <v>592022.09612717875</v>
      </c>
    </row>
    <row r="43" spans="1:7" x14ac:dyDescent="0.2">
      <c r="A43" s="20" t="s">
        <v>28</v>
      </c>
      <c r="B43" s="20">
        <f>F20</f>
        <v>805038.82812156854</v>
      </c>
    </row>
    <row r="44" spans="1:7" x14ac:dyDescent="0.2">
      <c r="A44" s="20"/>
      <c r="B44" s="32">
        <f>B42/B43</f>
        <v>0.73539570446380731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1382004</v>
      </c>
      <c r="C48" s="20"/>
    </row>
    <row r="49" spans="1:6" x14ac:dyDescent="0.2">
      <c r="A49" s="20" t="s">
        <v>40</v>
      </c>
      <c r="B49" s="20">
        <f>I30</f>
        <v>2187042.8281215685</v>
      </c>
      <c r="C49" s="20"/>
    </row>
    <row r="50" spans="1:6" x14ac:dyDescent="0.2">
      <c r="A50" s="20"/>
      <c r="B50" s="32">
        <f>B48/B49</f>
        <v>0.631905320842295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805038.82812156854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2187042.8281215685</v>
      </c>
      <c r="C55" s="20"/>
    </row>
    <row r="56" spans="1:6" x14ac:dyDescent="0.2">
      <c r="A56" s="20"/>
      <c r="B56" s="32">
        <f>B54/B55</f>
        <v>0.368094679157705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L7</f>
        <v>172754.4</v>
      </c>
    </row>
    <row r="61" spans="1:6" x14ac:dyDescent="0.2">
      <c r="A61" s="20" t="s">
        <v>41</v>
      </c>
      <c r="B61" s="20">
        <f>E2</f>
        <v>716164.42511250009</v>
      </c>
      <c r="F61" s="20"/>
    </row>
    <row r="62" spans="1:6" x14ac:dyDescent="0.2">
      <c r="A62" s="20"/>
      <c r="B62" s="33">
        <f>B60/B61</f>
        <v>0.24122169985316225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14396.199999999999</v>
      </c>
    </row>
    <row r="67" spans="1:6" x14ac:dyDescent="0.2">
      <c r="A67" s="20" t="s">
        <v>42</v>
      </c>
      <c r="B67" s="20">
        <f>B61/12</f>
        <v>59680.368759375007</v>
      </c>
    </row>
    <row r="68" spans="1:6" x14ac:dyDescent="0.2">
      <c r="A68" s="20"/>
      <c r="B68" s="33">
        <f>B66/B67</f>
        <v>0.24122169985316225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592022.09612717875</v>
      </c>
    </row>
    <row r="73" spans="1:6" x14ac:dyDescent="0.2">
      <c r="A73" s="20" t="s">
        <v>15</v>
      </c>
      <c r="B73" s="20">
        <f>E2</f>
        <v>716164.42511250009</v>
      </c>
    </row>
    <row r="74" spans="1:6" x14ac:dyDescent="0.2">
      <c r="A74" s="20"/>
      <c r="B74" s="32">
        <f>B72/B73</f>
        <v>0.82665666621764944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G38</f>
        <v>501020.73199438973</v>
      </c>
      <c r="C78" s="20"/>
    </row>
    <row r="79" spans="1:6" x14ac:dyDescent="0.2">
      <c r="A79" s="20" t="s">
        <v>28</v>
      </c>
      <c r="B79" s="20">
        <f>B43</f>
        <v>805038.82812156854</v>
      </c>
      <c r="C79" s="20"/>
    </row>
    <row r="80" spans="1:6" x14ac:dyDescent="0.2">
      <c r="A80" s="20"/>
      <c r="B80" s="32">
        <f>B78/B79</f>
        <v>0.62235598395103853</v>
      </c>
      <c r="C80" s="20"/>
    </row>
    <row r="90" spans="1:5" ht="15" thickBot="1" x14ac:dyDescent="0.25">
      <c r="A90" s="43">
        <f>A91-B107</f>
        <v>547164.42511250009</v>
      </c>
    </row>
    <row r="91" spans="1:5" ht="21" thickTop="1" thickBot="1" x14ac:dyDescent="0.25">
      <c r="A91" s="44">
        <f>E2</f>
        <v>716164.42511250009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200000</v>
      </c>
      <c r="D95" s="46">
        <v>0.1</v>
      </c>
      <c r="E95" s="47">
        <f t="shared" si="0"/>
        <v>20000</v>
      </c>
    </row>
    <row r="96" spans="1:5" x14ac:dyDescent="0.2">
      <c r="B96" s="45" t="s">
        <v>128</v>
      </c>
      <c r="C96" s="7">
        <f>IF((A90-C93-C94-C95)&gt;=250000,250000,(A90-C93-C94-C95))</f>
        <v>47164.425112500088</v>
      </c>
      <c r="D96" s="46">
        <v>0.15</v>
      </c>
      <c r="E96" s="47">
        <f t="shared" si="0"/>
        <v>7074.6637668750127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0</v>
      </c>
      <c r="D97" s="46">
        <v>0.2</v>
      </c>
      <c r="E97" s="47">
        <f t="shared" si="0"/>
        <v>0</v>
      </c>
    </row>
    <row r="98" spans="1:5" x14ac:dyDescent="0.2">
      <c r="B98" s="45" t="s">
        <v>130</v>
      </c>
      <c r="C98" s="7">
        <f>IF((A90-C93-C94-C95-C96-C97)&gt;=1000000,1000000,(A90-C93-C94-C95-C96-C97))</f>
        <v>0</v>
      </c>
      <c r="D98" s="46">
        <v>0.25</v>
      </c>
      <c r="E98" s="47">
        <f t="shared" si="0"/>
        <v>0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34574.663766875012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B107" s="42">
        <f>SUM(B104:B106)</f>
        <v>169000</v>
      </c>
    </row>
  </sheetData>
  <mergeCells count="1">
    <mergeCell ref="A103:B103"/>
  </mergeCells>
  <conditionalFormatting sqref="B32">
    <cfRule type="cellIs" dxfId="170" priority="18" operator="greaterThan">
      <formula>0.9999999999</formula>
    </cfRule>
    <cfRule type="cellIs" dxfId="169" priority="19" operator="lessThan">
      <formula>1</formula>
    </cfRule>
  </conditionalFormatting>
  <conditionalFormatting sqref="B38">
    <cfRule type="cellIs" dxfId="168" priority="16" operator="greaterThan">
      <formula>5.9999</formula>
    </cfRule>
    <cfRule type="cellIs" dxfId="167" priority="17" operator="lessThan">
      <formula>3</formula>
    </cfRule>
  </conditionalFormatting>
  <conditionalFormatting sqref="B44">
    <cfRule type="cellIs" dxfId="166" priority="13" operator="greaterThan">
      <formula>0.29</formula>
    </cfRule>
    <cfRule type="cellIs" dxfId="165" priority="14" operator="lessThan">
      <formula>0.05</formula>
    </cfRule>
    <cfRule type="cellIs" dxfId="164" priority="15" operator="greaterThan">
      <formula>0.049</formula>
    </cfRule>
  </conditionalFormatting>
  <conditionalFormatting sqref="B50">
    <cfRule type="cellIs" dxfId="163" priority="11" operator="greaterThan">
      <formula>0.49</formula>
    </cfRule>
    <cfRule type="cellIs" dxfId="162" priority="12" operator="lessThan">
      <formula>0.41</formula>
    </cfRule>
  </conditionalFormatting>
  <conditionalFormatting sqref="B56">
    <cfRule type="cellIs" dxfId="161" priority="9" operator="lessThan">
      <formula>0.41</formula>
    </cfRule>
    <cfRule type="cellIs" dxfId="160" priority="10" operator="greaterThan">
      <formula>0.59</formula>
    </cfRule>
  </conditionalFormatting>
  <conditionalFormatting sqref="B62">
    <cfRule type="cellIs" dxfId="159" priority="7" operator="greaterThan">
      <formula>0.39</formula>
    </cfRule>
    <cfRule type="cellIs" dxfId="158" priority="8" operator="lessThan">
      <formula>0.281</formula>
    </cfRule>
  </conditionalFormatting>
  <conditionalFormatting sqref="B68">
    <cfRule type="cellIs" dxfId="157" priority="5" operator="greaterThan">
      <formula>0.39</formula>
    </cfRule>
    <cfRule type="cellIs" dxfId="156" priority="6" operator="lessThan">
      <formula>0.281</formula>
    </cfRule>
  </conditionalFormatting>
  <conditionalFormatting sqref="B74">
    <cfRule type="cellIs" dxfId="155" priority="3" operator="lessThan">
      <formula>0.1</formula>
    </cfRule>
    <cfRule type="cellIs" dxfId="154" priority="4" operator="greaterThan">
      <formula>0.19</formula>
    </cfRule>
  </conditionalFormatting>
  <conditionalFormatting sqref="B80">
    <cfRule type="cellIs" dxfId="153" priority="1" operator="lessThan">
      <formula>0.3</formula>
    </cfRule>
    <cfRule type="cellIs" dxfId="152" priority="2" operator="greaterThan">
      <formula>0.49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F17E-1F05-4BA2-ACD5-6A1B67624774}">
  <dimension ref="A1:L107"/>
  <sheetViews>
    <sheetView topLeftCell="E1" workbookViewId="0">
      <selection activeCell="G36" sqref="G36"/>
    </sheetView>
  </sheetViews>
  <sheetFormatPr defaultRowHeight="14.25" x14ac:dyDescent="0.2"/>
  <cols>
    <col min="1" max="1" width="28.75" bestFit="1" customWidth="1"/>
    <col min="2" max="2" width="16.625" bestFit="1" customWidth="1"/>
    <col min="3" max="3" width="13.75" bestFit="1" customWidth="1"/>
    <col min="4" max="4" width="19.125" bestFit="1" customWidth="1"/>
    <col min="5" max="5" width="17.375" bestFit="1" customWidth="1"/>
    <col min="6" max="6" width="18.5" bestFit="1" customWidth="1"/>
    <col min="8" max="8" width="60.25" bestFit="1" customWidth="1"/>
    <col min="9" max="9" width="46.5" bestFit="1" customWidth="1"/>
    <col min="11" max="11" width="23.375" bestFit="1" customWidth="1"/>
    <col min="12" max="12" width="26.125" bestFit="1" customWidth="1"/>
  </cols>
  <sheetData>
    <row r="1" spans="1:12" x14ac:dyDescent="0.2">
      <c r="B1" s="1" t="s">
        <v>13</v>
      </c>
      <c r="C1" t="s">
        <v>14</v>
      </c>
      <c r="D1" t="s">
        <v>12</v>
      </c>
      <c r="E1" t="s">
        <v>15</v>
      </c>
      <c r="F1" t="s">
        <v>16</v>
      </c>
    </row>
    <row r="2" spans="1:12" x14ac:dyDescent="0.2">
      <c r="A2">
        <f>DATA!D38</f>
        <v>8</v>
      </c>
      <c r="B2" s="11">
        <f>DATA!E38</f>
        <v>43620.113102343756</v>
      </c>
      <c r="C2" s="11">
        <f>DATA!F38</f>
        <v>523441.3572281251</v>
      </c>
      <c r="D2" s="11">
        <f>DATA!G38</f>
        <v>261178.61616000009</v>
      </c>
      <c r="E2" s="11">
        <f>DATA!H38</f>
        <v>784619.97338812519</v>
      </c>
      <c r="F2" s="11">
        <f>DATA!I38</f>
        <v>65384.997782343766</v>
      </c>
    </row>
    <row r="3" spans="1:12" x14ac:dyDescent="0.2">
      <c r="H3" s="4"/>
      <c r="I3" s="4" t="s">
        <v>48</v>
      </c>
      <c r="K3" s="4"/>
      <c r="L3" s="4" t="s">
        <v>61</v>
      </c>
    </row>
    <row r="4" spans="1:12" x14ac:dyDescent="0.2">
      <c r="H4" s="4" t="s">
        <v>49</v>
      </c>
      <c r="I4" s="10">
        <f>'7'!I21+F10</f>
        <v>780318.67350708519</v>
      </c>
      <c r="K4" s="4" t="s">
        <v>62</v>
      </c>
      <c r="L4" s="4">
        <f>DATA!G10</f>
        <v>25958.400000000001</v>
      </c>
    </row>
    <row r="5" spans="1:12" x14ac:dyDescent="0.2">
      <c r="H5" s="4" t="s">
        <v>50</v>
      </c>
      <c r="I5" s="4" t="s">
        <v>66</v>
      </c>
      <c r="K5" t="s">
        <v>112</v>
      </c>
      <c r="L5" s="4">
        <f>DATA!C96</f>
        <v>150444</v>
      </c>
    </row>
    <row r="7" spans="1:12" x14ac:dyDescent="0.2">
      <c r="H7" s="4"/>
      <c r="I7" s="4" t="s">
        <v>51</v>
      </c>
      <c r="K7" s="25" t="s">
        <v>65</v>
      </c>
      <c r="L7" s="25">
        <f>SUM(L4:L5)</f>
        <v>176402.4</v>
      </c>
    </row>
    <row r="8" spans="1:12" x14ac:dyDescent="0.2">
      <c r="C8" s="2">
        <v>10</v>
      </c>
      <c r="H8" s="4" t="s">
        <v>52</v>
      </c>
      <c r="I8" s="4"/>
    </row>
    <row r="9" spans="1:12" x14ac:dyDescent="0.2">
      <c r="B9" t="s">
        <v>81</v>
      </c>
      <c r="C9">
        <v>12</v>
      </c>
      <c r="H9" s="4" t="s">
        <v>53</v>
      </c>
      <c r="I9" s="4"/>
      <c r="K9" s="4"/>
      <c r="L9" s="4" t="s">
        <v>63</v>
      </c>
    </row>
    <row r="10" spans="1:12" x14ac:dyDescent="0.2">
      <c r="A10" t="s">
        <v>67</v>
      </c>
      <c r="B10">
        <v>6804</v>
      </c>
      <c r="C10">
        <f>B10*$C$9</f>
        <v>81648</v>
      </c>
      <c r="F10" s="19">
        <f>E2-C26</f>
        <v>188296.57737990643</v>
      </c>
      <c r="K10" s="4" t="s">
        <v>62</v>
      </c>
      <c r="L10" s="4">
        <f>DATA!G18-SUM(DATA!G3:G10)</f>
        <v>280627.20000000007</v>
      </c>
    </row>
    <row r="11" spans="1:12" x14ac:dyDescent="0.2">
      <c r="A11" t="s">
        <v>68</v>
      </c>
      <c r="B11">
        <v>6200</v>
      </c>
      <c r="C11">
        <f>B11*$C$9</f>
        <v>74400</v>
      </c>
      <c r="H11" s="4"/>
      <c r="I11" s="4" t="s">
        <v>54</v>
      </c>
      <c r="K11" t="s">
        <v>112</v>
      </c>
      <c r="L11" s="4">
        <f>'7'!L11-L5</f>
        <v>752220</v>
      </c>
    </row>
    <row r="12" spans="1:12" x14ac:dyDescent="0.2">
      <c r="A12" t="s">
        <v>69</v>
      </c>
      <c r="B12">
        <v>1920</v>
      </c>
      <c r="C12">
        <f>B12*$C$9</f>
        <v>23040</v>
      </c>
      <c r="H12" s="4" t="s">
        <v>55</v>
      </c>
      <c r="I12" s="4"/>
    </row>
    <row r="13" spans="1:12" x14ac:dyDescent="0.2">
      <c r="A13" t="s">
        <v>70</v>
      </c>
      <c r="B13">
        <v>1350</v>
      </c>
      <c r="C13">
        <f>B13*$C$9</f>
        <v>16200</v>
      </c>
      <c r="H13" s="4" t="s">
        <v>56</v>
      </c>
      <c r="I13" s="4"/>
      <c r="K13" s="25" t="s">
        <v>64</v>
      </c>
      <c r="L13" s="25">
        <f>SUM(L10:L11)</f>
        <v>1032847.2000000001</v>
      </c>
    </row>
    <row r="14" spans="1:12" x14ac:dyDescent="0.2">
      <c r="A14" t="s">
        <v>116</v>
      </c>
      <c r="C14">
        <v>29790</v>
      </c>
      <c r="H14" s="4" t="s">
        <v>57</v>
      </c>
      <c r="I14" s="4"/>
    </row>
    <row r="15" spans="1:12" x14ac:dyDescent="0.2">
      <c r="A15" t="s">
        <v>80</v>
      </c>
      <c r="B15">
        <f>DATA!C71</f>
        <v>1150</v>
      </c>
      <c r="C15">
        <f>B15*C9</f>
        <v>13800</v>
      </c>
      <c r="H15" s="4" t="s">
        <v>58</v>
      </c>
      <c r="I15" s="4"/>
    </row>
    <row r="16" spans="1:12" x14ac:dyDescent="0.2">
      <c r="A16" t="s">
        <v>62</v>
      </c>
      <c r="B16">
        <f>C16/C9</f>
        <v>2163.2000000000003</v>
      </c>
      <c r="C16">
        <f>L4</f>
        <v>25958.400000000001</v>
      </c>
    </row>
    <row r="17" spans="1:12" x14ac:dyDescent="0.2">
      <c r="A17" t="s">
        <v>112</v>
      </c>
      <c r="B17">
        <f>C17/12</f>
        <v>12537</v>
      </c>
      <c r="C17">
        <f>L5</f>
        <v>150444</v>
      </c>
      <c r="H17" s="4"/>
      <c r="I17" s="4" t="s">
        <v>59</v>
      </c>
    </row>
    <row r="18" spans="1:12" x14ac:dyDescent="0.2">
      <c r="H18" s="4" t="s">
        <v>60</v>
      </c>
      <c r="I18" s="4"/>
    </row>
    <row r="19" spans="1:12" x14ac:dyDescent="0.2">
      <c r="A19" t="s">
        <v>71</v>
      </c>
      <c r="B19">
        <v>2000</v>
      </c>
      <c r="C19">
        <f>B19*$C$9</f>
        <v>24000</v>
      </c>
    </row>
    <row r="20" spans="1:12" ht="15" thickBot="1" x14ac:dyDescent="0.25">
      <c r="A20" t="s">
        <v>72</v>
      </c>
      <c r="B20">
        <v>2000</v>
      </c>
      <c r="C20">
        <f>B20*$C$9</f>
        <v>24000</v>
      </c>
      <c r="E20" s="20" t="s">
        <v>28</v>
      </c>
      <c r="F20" s="19">
        <f>I30-L21</f>
        <v>1187069.6617049417</v>
      </c>
    </row>
    <row r="21" spans="1:12" ht="15.75" thickTop="1" thickBot="1" x14ac:dyDescent="0.25">
      <c r="A21" t="s">
        <v>82</v>
      </c>
      <c r="B21">
        <v>0</v>
      </c>
      <c r="C21">
        <f>B21*C8</f>
        <v>0</v>
      </c>
      <c r="H21" s="24" t="str">
        <f>A30</f>
        <v>สินทรัพย์สภาพคล่อง</v>
      </c>
      <c r="I21" s="26">
        <f>(SUM(I4:I5)+SUM(I8:I9)+SUM(I12:I15)+SUM(I18))-G35</f>
        <v>697844.77261468617</v>
      </c>
      <c r="K21" s="23" t="s">
        <v>37</v>
      </c>
      <c r="L21" s="38">
        <f>L7+L13</f>
        <v>1209249.6000000001</v>
      </c>
    </row>
    <row r="22" spans="1:12" ht="15" thickTop="1" x14ac:dyDescent="0.2">
      <c r="A22" t="s">
        <v>83</v>
      </c>
      <c r="B22">
        <v>350</v>
      </c>
      <c r="C22">
        <f>B22*C9</f>
        <v>4200</v>
      </c>
    </row>
    <row r="23" spans="1:12" x14ac:dyDescent="0.2">
      <c r="A23" t="s">
        <v>117</v>
      </c>
      <c r="B23">
        <v>7000</v>
      </c>
      <c r="C23">
        <f>B23*C9</f>
        <v>84000</v>
      </c>
      <c r="I23" s="19"/>
    </row>
    <row r="24" spans="1:12" x14ac:dyDescent="0.2">
      <c r="F24" s="20"/>
    </row>
    <row r="25" spans="1:12" x14ac:dyDescent="0.2">
      <c r="A25" t="s">
        <v>133</v>
      </c>
      <c r="C25" s="8">
        <f>E101</f>
        <v>44842.996008218775</v>
      </c>
      <c r="F25" s="20"/>
    </row>
    <row r="26" spans="1:12" x14ac:dyDescent="0.2">
      <c r="B26" s="4" t="s">
        <v>84</v>
      </c>
      <c r="C26" s="41">
        <f>SUM(C10:C25)</f>
        <v>596323.39600821876</v>
      </c>
    </row>
    <row r="27" spans="1:12" x14ac:dyDescent="0.2">
      <c r="B27" s="4" t="s">
        <v>85</v>
      </c>
      <c r="C27" s="41">
        <f>C26/C9</f>
        <v>49693.616334018232</v>
      </c>
      <c r="G27" s="22">
        <v>0.4</v>
      </c>
    </row>
    <row r="28" spans="1:12" x14ac:dyDescent="0.2">
      <c r="A28" s="20"/>
      <c r="B28" s="20" t="s">
        <v>19</v>
      </c>
      <c r="C28" s="20"/>
      <c r="D28" s="1" t="s">
        <v>18</v>
      </c>
      <c r="G28" t="s">
        <v>86</v>
      </c>
      <c r="I28" s="20" t="s">
        <v>40</v>
      </c>
    </row>
    <row r="29" spans="1:12" x14ac:dyDescent="0.2">
      <c r="A29" s="20"/>
      <c r="B29" s="20" t="s">
        <v>22</v>
      </c>
      <c r="C29" s="20"/>
      <c r="D29" s="19">
        <f>I21</f>
        <v>697844.77261468617</v>
      </c>
      <c r="E29">
        <v>2</v>
      </c>
      <c r="F29" t="s">
        <v>137</v>
      </c>
      <c r="G29">
        <f>DATA!B157</f>
        <v>60665.226936599822</v>
      </c>
      <c r="I29">
        <f>DATA!C90</f>
        <v>1094000</v>
      </c>
    </row>
    <row r="30" spans="1:12" x14ac:dyDescent="0.2">
      <c r="A30" s="20" t="s">
        <v>25</v>
      </c>
      <c r="B30" s="20">
        <f>I21</f>
        <v>697844.77261468617</v>
      </c>
      <c r="C30" s="20"/>
      <c r="E30">
        <v>3</v>
      </c>
      <c r="F30" t="s">
        <v>137</v>
      </c>
      <c r="G30">
        <f>DATA!C157</f>
        <v>56008.486678915557</v>
      </c>
      <c r="I30" s="19">
        <f>I21+G38+I29</f>
        <v>2396319.2617049417</v>
      </c>
    </row>
    <row r="31" spans="1:12" x14ac:dyDescent="0.2">
      <c r="A31" s="20" t="s">
        <v>26</v>
      </c>
      <c r="B31" s="20">
        <f>L7</f>
        <v>176402.4</v>
      </c>
      <c r="C31" s="20"/>
      <c r="E31">
        <v>4</v>
      </c>
      <c r="F31" t="s">
        <v>137</v>
      </c>
      <c r="G31">
        <f>DATA!D157</f>
        <v>104547.60966840998</v>
      </c>
    </row>
    <row r="32" spans="1:12" x14ac:dyDescent="0.2">
      <c r="A32" s="20"/>
      <c r="B32" s="21">
        <f>B30/B31</f>
        <v>3.9559823030451184</v>
      </c>
      <c r="C32" s="20" t="s">
        <v>87</v>
      </c>
      <c r="E32">
        <v>5</v>
      </c>
      <c r="F32" t="s">
        <v>137</v>
      </c>
      <c r="G32">
        <f>DATA!E157</f>
        <v>105240.17790278837</v>
      </c>
    </row>
    <row r="33" spans="1:7" x14ac:dyDescent="0.2">
      <c r="A33" s="20"/>
      <c r="B33" s="20"/>
      <c r="C33" s="20"/>
      <c r="D33" s="20"/>
      <c r="E33" s="20">
        <v>6</v>
      </c>
      <c r="F33" t="s">
        <v>138</v>
      </c>
      <c r="G33">
        <f>DATA!F157</f>
        <v>130524.4209361674</v>
      </c>
    </row>
    <row r="34" spans="1:7" x14ac:dyDescent="0.2">
      <c r="A34" s="20"/>
      <c r="B34" s="20" t="s">
        <v>20</v>
      </c>
      <c r="C34" s="20"/>
      <c r="E34">
        <v>7</v>
      </c>
      <c r="F34" t="s">
        <v>136</v>
      </c>
      <c r="G34">
        <f>DATA!G157</f>
        <v>65014.666074975219</v>
      </c>
    </row>
    <row r="35" spans="1:7" x14ac:dyDescent="0.2">
      <c r="A35" s="20"/>
      <c r="B35" s="20" t="s">
        <v>23</v>
      </c>
      <c r="C35" s="20"/>
      <c r="E35">
        <v>8</v>
      </c>
      <c r="F35" t="s">
        <v>136</v>
      </c>
      <c r="G35">
        <f>DATA!H157</f>
        <v>82473.900892399019</v>
      </c>
    </row>
    <row r="36" spans="1:7" x14ac:dyDescent="0.2">
      <c r="A36" s="20" t="s">
        <v>25</v>
      </c>
      <c r="B36" s="20">
        <f>B30</f>
        <v>697844.77261468617</v>
      </c>
      <c r="C36" s="20"/>
    </row>
    <row r="37" spans="1:7" x14ac:dyDescent="0.2">
      <c r="A37" s="20" t="s">
        <v>27</v>
      </c>
      <c r="B37" s="20">
        <f>C27</f>
        <v>49693.616334018232</v>
      </c>
      <c r="C37" s="20"/>
    </row>
    <row r="38" spans="1:7" x14ac:dyDescent="0.2">
      <c r="A38" s="20"/>
      <c r="B38" s="21">
        <f>B36/B37</f>
        <v>14.042946038060224</v>
      </c>
      <c r="C38" s="20" t="s">
        <v>87</v>
      </c>
      <c r="G38">
        <f>SUM(G29:G37)</f>
        <v>604474.48909025546</v>
      </c>
    </row>
    <row r="40" spans="1:7" x14ac:dyDescent="0.2">
      <c r="A40" s="20"/>
      <c r="B40" s="20" t="s">
        <v>21</v>
      </c>
    </row>
    <row r="41" spans="1:7" x14ac:dyDescent="0.2">
      <c r="A41" s="20"/>
      <c r="B41" s="20" t="s">
        <v>24</v>
      </c>
    </row>
    <row r="42" spans="1:7" x14ac:dyDescent="0.2">
      <c r="A42" s="20" t="s">
        <v>25</v>
      </c>
      <c r="B42" s="20">
        <f>B30</f>
        <v>697844.77261468617</v>
      </c>
    </row>
    <row r="43" spans="1:7" x14ac:dyDescent="0.2">
      <c r="A43" s="20" t="s">
        <v>28</v>
      </c>
      <c r="B43" s="20">
        <f>F20</f>
        <v>1187069.6617049417</v>
      </c>
    </row>
    <row r="44" spans="1:7" x14ac:dyDescent="0.2">
      <c r="A44" s="20"/>
      <c r="B44" s="32">
        <f>B42/B43</f>
        <v>0.58787179482996732</v>
      </c>
    </row>
    <row r="45" spans="1:7" x14ac:dyDescent="0.2">
      <c r="A45" s="20"/>
      <c r="B45" s="20"/>
      <c r="C45" s="20"/>
      <c r="D45" s="20"/>
      <c r="E45" s="20"/>
      <c r="F45" s="20"/>
    </row>
    <row r="46" spans="1:7" x14ac:dyDescent="0.2">
      <c r="A46" s="20"/>
      <c r="B46" s="20" t="s">
        <v>29</v>
      </c>
      <c r="C46" s="20"/>
      <c r="D46" s="20"/>
      <c r="E46" s="20"/>
      <c r="F46" s="20"/>
    </row>
    <row r="47" spans="1:7" x14ac:dyDescent="0.2">
      <c r="A47" s="20"/>
      <c r="B47" s="20" t="s">
        <v>33</v>
      </c>
      <c r="C47" s="20"/>
    </row>
    <row r="48" spans="1:7" x14ac:dyDescent="0.2">
      <c r="A48" s="20" t="s">
        <v>37</v>
      </c>
      <c r="B48" s="20">
        <f>L21</f>
        <v>1209249.6000000001</v>
      </c>
      <c r="C48" s="20"/>
    </row>
    <row r="49" spans="1:6" x14ac:dyDescent="0.2">
      <c r="A49" s="20" t="s">
        <v>40</v>
      </c>
      <c r="B49" s="20">
        <f>I30</f>
        <v>2396319.2617049417</v>
      </c>
      <c r="C49" s="20"/>
    </row>
    <row r="50" spans="1:6" x14ac:dyDescent="0.2">
      <c r="A50" s="20"/>
      <c r="B50" s="32">
        <f>B48/B49</f>
        <v>0.50462791804278984</v>
      </c>
      <c r="C50" s="20"/>
    </row>
    <row r="51" spans="1:6" x14ac:dyDescent="0.2">
      <c r="A51" s="20"/>
      <c r="B51" s="20"/>
      <c r="C51" s="20"/>
    </row>
    <row r="52" spans="1:6" x14ac:dyDescent="0.2">
      <c r="A52" s="20"/>
      <c r="B52" s="20" t="s">
        <v>30</v>
      </c>
      <c r="C52" s="20"/>
    </row>
    <row r="53" spans="1:6" x14ac:dyDescent="0.2">
      <c r="A53" s="20"/>
      <c r="B53" s="20" t="s">
        <v>34</v>
      </c>
      <c r="C53" s="20"/>
    </row>
    <row r="54" spans="1:6" x14ac:dyDescent="0.2">
      <c r="A54" s="20" t="s">
        <v>28</v>
      </c>
      <c r="B54" s="20">
        <f>B43</f>
        <v>1187069.6617049417</v>
      </c>
      <c r="C54" s="20"/>
      <c r="D54" s="20"/>
      <c r="E54" s="20"/>
      <c r="F54" s="20"/>
    </row>
    <row r="55" spans="1:6" x14ac:dyDescent="0.2">
      <c r="A55" s="20" t="s">
        <v>40</v>
      </c>
      <c r="B55" s="20">
        <f>B49</f>
        <v>2396319.2617049417</v>
      </c>
      <c r="C55" s="20"/>
    </row>
    <row r="56" spans="1:6" x14ac:dyDescent="0.2">
      <c r="A56" s="20"/>
      <c r="B56" s="32">
        <f>B54/B55</f>
        <v>0.49537208195721011</v>
      </c>
      <c r="C56" s="20"/>
    </row>
    <row r="58" spans="1:6" x14ac:dyDescent="0.2">
      <c r="A58" s="20"/>
      <c r="B58" s="20" t="s">
        <v>31</v>
      </c>
    </row>
    <row r="59" spans="1:6" x14ac:dyDescent="0.2">
      <c r="A59" s="20"/>
      <c r="B59" s="20" t="s">
        <v>35</v>
      </c>
    </row>
    <row r="60" spans="1:6" x14ac:dyDescent="0.2">
      <c r="A60" s="20" t="s">
        <v>38</v>
      </c>
      <c r="B60" s="20">
        <f>L7</f>
        <v>176402.4</v>
      </c>
    </row>
    <row r="61" spans="1:6" x14ac:dyDescent="0.2">
      <c r="A61" s="20" t="s">
        <v>41</v>
      </c>
      <c r="B61" s="20">
        <f>E2</f>
        <v>784619.97338812519</v>
      </c>
      <c r="F61" s="20"/>
    </row>
    <row r="62" spans="1:6" x14ac:dyDescent="0.2">
      <c r="A62" s="20"/>
      <c r="B62" s="33">
        <f>B60/B61</f>
        <v>0.22482527335910635</v>
      </c>
      <c r="F62" s="20"/>
    </row>
    <row r="63" spans="1:6" x14ac:dyDescent="0.2">
      <c r="F63" s="20"/>
    </row>
    <row r="64" spans="1:6" x14ac:dyDescent="0.2">
      <c r="A64" s="20"/>
      <c r="B64" s="20" t="s">
        <v>32</v>
      </c>
      <c r="F64" s="20"/>
    </row>
    <row r="65" spans="1:6" x14ac:dyDescent="0.2">
      <c r="A65" s="20"/>
      <c r="B65" s="20" t="s">
        <v>36</v>
      </c>
      <c r="F65" s="20"/>
    </row>
    <row r="66" spans="1:6" x14ac:dyDescent="0.2">
      <c r="A66" s="20" t="s">
        <v>39</v>
      </c>
      <c r="B66" s="20">
        <f>B60/12</f>
        <v>14700.199999999999</v>
      </c>
    </row>
    <row r="67" spans="1:6" x14ac:dyDescent="0.2">
      <c r="A67" s="20" t="s">
        <v>42</v>
      </c>
      <c r="B67" s="20">
        <f>B61/12</f>
        <v>65384.997782343766</v>
      </c>
    </row>
    <row r="68" spans="1:6" x14ac:dyDescent="0.2">
      <c r="A68" s="20"/>
      <c r="B68" s="33">
        <f>B66/B67</f>
        <v>0.22482527335910635</v>
      </c>
    </row>
    <row r="70" spans="1:6" x14ac:dyDescent="0.2">
      <c r="A70" s="20"/>
      <c r="B70" s="20" t="s">
        <v>43</v>
      </c>
    </row>
    <row r="71" spans="1:6" x14ac:dyDescent="0.2">
      <c r="A71" s="20"/>
      <c r="B71" s="20" t="s">
        <v>45</v>
      </c>
    </row>
    <row r="72" spans="1:6" x14ac:dyDescent="0.2">
      <c r="A72" s="20" t="s">
        <v>18</v>
      </c>
      <c r="B72" s="20">
        <f>D29</f>
        <v>697844.77261468617</v>
      </c>
    </row>
    <row r="73" spans="1:6" x14ac:dyDescent="0.2">
      <c r="A73" s="20" t="s">
        <v>15</v>
      </c>
      <c r="B73" s="20">
        <f>E2</f>
        <v>784619.97338812519</v>
      </c>
    </row>
    <row r="74" spans="1:6" x14ac:dyDescent="0.2">
      <c r="A74" s="20"/>
      <c r="B74" s="32">
        <f>B72/B73</f>
        <v>0.88940480268590583</v>
      </c>
    </row>
    <row r="76" spans="1:6" x14ac:dyDescent="0.2">
      <c r="A76" s="20"/>
      <c r="B76" s="20" t="s">
        <v>44</v>
      </c>
      <c r="C76" s="20"/>
    </row>
    <row r="77" spans="1:6" x14ac:dyDescent="0.2">
      <c r="A77" s="20"/>
      <c r="B77" s="20" t="s">
        <v>46</v>
      </c>
      <c r="C77" s="20"/>
    </row>
    <row r="78" spans="1:6" x14ac:dyDescent="0.2">
      <c r="A78" s="20" t="s">
        <v>47</v>
      </c>
      <c r="B78" s="20">
        <f>G38</f>
        <v>604474.48909025546</v>
      </c>
      <c r="C78" s="20"/>
    </row>
    <row r="79" spans="1:6" x14ac:dyDescent="0.2">
      <c r="A79" s="20" t="s">
        <v>28</v>
      </c>
      <c r="B79" s="20">
        <f>B43</f>
        <v>1187069.6617049417</v>
      </c>
      <c r="C79" s="20"/>
    </row>
    <row r="80" spans="1:6" x14ac:dyDescent="0.2">
      <c r="A80" s="20"/>
      <c r="B80" s="32">
        <f>B78/B79</f>
        <v>0.50921568345203294</v>
      </c>
      <c r="C80" s="20"/>
    </row>
    <row r="90" spans="1:5" ht="15" thickBot="1" x14ac:dyDescent="0.25">
      <c r="A90" s="43">
        <f>A91-B107</f>
        <v>615619.97338812519</v>
      </c>
    </row>
    <row r="91" spans="1:5" ht="21" thickTop="1" thickBot="1" x14ac:dyDescent="0.25">
      <c r="A91" s="44">
        <f>E2</f>
        <v>784619.97338812519</v>
      </c>
    </row>
    <row r="92" spans="1:5" ht="15" thickTop="1" x14ac:dyDescent="0.2">
      <c r="B92" s="5" t="s">
        <v>122</v>
      </c>
      <c r="C92" s="5" t="s">
        <v>123</v>
      </c>
      <c r="D92" s="5" t="s">
        <v>124</v>
      </c>
    </row>
    <row r="93" spans="1:5" x14ac:dyDescent="0.2">
      <c r="B93" s="45" t="s">
        <v>125</v>
      </c>
      <c r="C93" s="7">
        <f>IF(A90&gt;=150000,150000,0)</f>
        <v>150000</v>
      </c>
      <c r="D93" s="46">
        <v>0</v>
      </c>
      <c r="E93" s="47">
        <f>C93*D93</f>
        <v>0</v>
      </c>
    </row>
    <row r="94" spans="1:5" x14ac:dyDescent="0.2">
      <c r="A94" s="1"/>
      <c r="B94" s="45" t="s">
        <v>126</v>
      </c>
      <c r="C94" s="7">
        <f>IF((A90-C93)&gt;=150000,150000,(A90-C93))</f>
        <v>150000</v>
      </c>
      <c r="D94" s="46">
        <v>0.05</v>
      </c>
      <c r="E94" s="47">
        <f t="shared" ref="E94:E100" si="0">C94*D94</f>
        <v>7500</v>
      </c>
    </row>
    <row r="95" spans="1:5" x14ac:dyDescent="0.2">
      <c r="B95" s="45" t="s">
        <v>127</v>
      </c>
      <c r="C95" s="7">
        <f>IF((A90-C93-C94)&gt;=200000,200000,(A90-C93-C94))</f>
        <v>200000</v>
      </c>
      <c r="D95" s="46">
        <v>0.1</v>
      </c>
      <c r="E95" s="47">
        <f t="shared" si="0"/>
        <v>20000</v>
      </c>
    </row>
    <row r="96" spans="1:5" x14ac:dyDescent="0.2">
      <c r="B96" s="45" t="s">
        <v>128</v>
      </c>
      <c r="C96" s="7">
        <f>IF((A90-C93-C94-C95)&gt;=250000,250000,(A90-C93-C94-C95))</f>
        <v>115619.97338812519</v>
      </c>
      <c r="D96" s="46">
        <v>0.15</v>
      </c>
      <c r="E96" s="47">
        <f t="shared" si="0"/>
        <v>17342.996008218779</v>
      </c>
    </row>
    <row r="97" spans="1:5" x14ac:dyDescent="0.2">
      <c r="A97" s="48"/>
      <c r="B97" s="45" t="s">
        <v>129</v>
      </c>
      <c r="C97" s="7">
        <f>IF((A90-C93-C94-C95-C96)&gt;=250000,250000,(A90-C93-C94-C95-C96))</f>
        <v>0</v>
      </c>
      <c r="D97" s="46">
        <v>0.2</v>
      </c>
      <c r="E97" s="47">
        <f t="shared" si="0"/>
        <v>0</v>
      </c>
    </row>
    <row r="98" spans="1:5" x14ac:dyDescent="0.2">
      <c r="B98" s="45" t="s">
        <v>130</v>
      </c>
      <c r="C98" s="7">
        <f>IF((A90-C93-C94-C95-C96-C97)&gt;=1000000,1000000,(A90-C93-C94-C95-C96-C97))</f>
        <v>0</v>
      </c>
      <c r="D98" s="46">
        <v>0.25</v>
      </c>
      <c r="E98" s="47">
        <f t="shared" si="0"/>
        <v>0</v>
      </c>
    </row>
    <row r="99" spans="1:5" x14ac:dyDescent="0.2">
      <c r="B99" s="45" t="s">
        <v>131</v>
      </c>
      <c r="C99" s="7">
        <f>IF((A90-C93-C94-C95-C96-C97-C98)&gt;=3000000,3000000,(A90-C93-C94-C95-C96-C97-C98))</f>
        <v>0</v>
      </c>
      <c r="D99" s="46">
        <v>0.3</v>
      </c>
      <c r="E99" s="47">
        <f t="shared" si="0"/>
        <v>0</v>
      </c>
    </row>
    <row r="100" spans="1:5" ht="15" thickBot="1" x14ac:dyDescent="0.25">
      <c r="B100" s="45" t="s">
        <v>132</v>
      </c>
      <c r="C100" s="7">
        <f>A90-C93-C94-C95-C96-C97-C98-C99</f>
        <v>0</v>
      </c>
      <c r="D100" s="46">
        <v>0.35</v>
      </c>
      <c r="E100" s="47">
        <f t="shared" si="0"/>
        <v>0</v>
      </c>
    </row>
    <row r="101" spans="1:5" ht="28.5" thickTop="1" thickBot="1" x14ac:dyDescent="0.4">
      <c r="E101" s="49">
        <f>SUM(E93:E100)</f>
        <v>44842.996008218775</v>
      </c>
    </row>
    <row r="102" spans="1:5" ht="15" thickTop="1" x14ac:dyDescent="0.2"/>
    <row r="103" spans="1:5" x14ac:dyDescent="0.2">
      <c r="A103" s="40" t="s">
        <v>118</v>
      </c>
      <c r="B103" s="40"/>
    </row>
    <row r="104" spans="1:5" x14ac:dyDescent="0.2">
      <c r="A104" s="4" t="s">
        <v>119</v>
      </c>
      <c r="B104" s="41">
        <v>100000</v>
      </c>
    </row>
    <row r="105" spans="1:5" x14ac:dyDescent="0.2">
      <c r="A105" s="4" t="s">
        <v>120</v>
      </c>
      <c r="B105" s="41">
        <v>60000</v>
      </c>
    </row>
    <row r="106" spans="1:5" x14ac:dyDescent="0.2">
      <c r="A106" s="4" t="s">
        <v>121</v>
      </c>
      <c r="B106" s="41">
        <v>9000</v>
      </c>
    </row>
    <row r="107" spans="1:5" x14ac:dyDescent="0.2">
      <c r="B107" s="42">
        <f>SUM(B104:B106)</f>
        <v>169000</v>
      </c>
    </row>
  </sheetData>
  <mergeCells count="1">
    <mergeCell ref="A103:B103"/>
  </mergeCells>
  <conditionalFormatting sqref="B32">
    <cfRule type="cellIs" dxfId="151" priority="18" operator="greaterThan">
      <formula>0.9999999999</formula>
    </cfRule>
    <cfRule type="cellIs" dxfId="150" priority="19" operator="lessThan">
      <formula>1</formula>
    </cfRule>
  </conditionalFormatting>
  <conditionalFormatting sqref="B38">
    <cfRule type="cellIs" dxfId="149" priority="16" operator="greaterThan">
      <formula>5.9999</formula>
    </cfRule>
    <cfRule type="cellIs" dxfId="148" priority="17" operator="lessThan">
      <formula>3</formula>
    </cfRule>
  </conditionalFormatting>
  <conditionalFormatting sqref="B44">
    <cfRule type="cellIs" dxfId="147" priority="13" operator="greaterThan">
      <formula>0.29</formula>
    </cfRule>
    <cfRule type="cellIs" dxfId="146" priority="14" operator="lessThan">
      <formula>0.05</formula>
    </cfRule>
    <cfRule type="cellIs" dxfId="145" priority="15" operator="greaterThan">
      <formula>0.049</formula>
    </cfRule>
  </conditionalFormatting>
  <conditionalFormatting sqref="B50">
    <cfRule type="cellIs" dxfId="144" priority="11" operator="greaterThan">
      <formula>0.49</formula>
    </cfRule>
    <cfRule type="cellIs" dxfId="143" priority="12" operator="lessThan">
      <formula>0.41</formula>
    </cfRule>
  </conditionalFormatting>
  <conditionalFormatting sqref="B56">
    <cfRule type="cellIs" dxfId="142" priority="9" operator="lessThan">
      <formula>0.41</formula>
    </cfRule>
    <cfRule type="cellIs" dxfId="141" priority="10" operator="greaterThan">
      <formula>0.59</formula>
    </cfRule>
  </conditionalFormatting>
  <conditionalFormatting sqref="B62">
    <cfRule type="cellIs" dxfId="140" priority="7" operator="greaterThan">
      <formula>0.39</formula>
    </cfRule>
    <cfRule type="cellIs" dxfId="139" priority="8" operator="lessThan">
      <formula>0.281</formula>
    </cfRule>
  </conditionalFormatting>
  <conditionalFormatting sqref="B68">
    <cfRule type="cellIs" dxfId="138" priority="5" operator="greaterThan">
      <formula>0.39</formula>
    </cfRule>
    <cfRule type="cellIs" dxfId="137" priority="6" operator="lessThan">
      <formula>0.281</formula>
    </cfRule>
  </conditionalFormatting>
  <conditionalFormatting sqref="B74">
    <cfRule type="cellIs" dxfId="136" priority="3" operator="lessThan">
      <formula>0.1</formula>
    </cfRule>
    <cfRule type="cellIs" dxfId="135" priority="4" operator="greaterThan">
      <formula>0.19</formula>
    </cfRule>
  </conditionalFormatting>
  <conditionalFormatting sqref="B80">
    <cfRule type="cellIs" dxfId="134" priority="1" operator="lessThan">
      <formula>0.3</formula>
    </cfRule>
    <cfRule type="cellIs" dxfId="133" priority="2" operator="greaterThan">
      <formula>0.49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DATA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KASIDIS RATTANAWIJIT</dc:creator>
  <cp:lastModifiedBy>KASIDIS RATTANAWIJIT</cp:lastModifiedBy>
  <dcterms:created xsi:type="dcterms:W3CDTF">2025-04-26T05:28:40Z</dcterms:created>
  <dcterms:modified xsi:type="dcterms:W3CDTF">2025-04-29T21:43:46Z</dcterms:modified>
</cp:coreProperties>
</file>