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win10\Desktop\BU3\"/>
    </mc:Choice>
  </mc:AlternateContent>
  <xr:revisionPtr revIDLastSave="0" documentId="13_ncr:1_{705691C9-D6EC-40F6-A60D-15F7D53A1414}" xr6:coauthVersionLast="47" xr6:coauthVersionMax="47" xr10:uidLastSave="{00000000-0000-0000-0000-000000000000}"/>
  <bookViews>
    <workbookView xWindow="-120" yWindow="-120" windowWidth="27990" windowHeight="16440" firstSheet="5" activeTab="5" xr2:uid="{00000000-000D-0000-FFFF-FFFF00000000}"/>
  </bookViews>
  <sheets>
    <sheet name="Shareholding" sheetId="2" r:id="rId1"/>
    <sheet name="Inputs&amp;Assumptions" sheetId="1" r:id="rId2"/>
    <sheet name="costv.1.1" sheetId="18" r:id="rId3"/>
    <sheet name="Monthly_P&amp;L_12M" sheetId="3" r:id="rId4"/>
    <sheet name="Tax" sheetId="19" r:id="rId5"/>
    <sheet name="BEP-PP-NPV-IRR" sheetId="4" r:id="rId6"/>
    <sheet name="CAPEX" sheetId="5" r:id="rId7"/>
    <sheet name="แก้word" sheetId="20" r:id="rId8"/>
    <sheet name="Summary" sheetId="6" r:id="rId9"/>
    <sheet name="คำแนะนำ" sheetId="7" r:id="rId10"/>
    <sheet name="งบประมาณการลงทุน" sheetId="8" r:id="rId11"/>
    <sheet name="ค่าเสื่อมและตัดจ่าย" sheetId="9" r:id="rId12"/>
    <sheet name="การประมาณการยอดขาย" sheetId="10" r:id="rId13"/>
    <sheet name="สินค้าและส่งเสริมการขาย" sheetId="11" r:id="rId14"/>
    <sheet name="การประมาณการค่าใช้จ่าย" sheetId="12" r:id="rId15"/>
    <sheet name="งบกำไรขาดทุน" sheetId="13" r:id="rId16"/>
    <sheet name="งบกระแสเงินสด" sheetId="14" r:id="rId17"/>
    <sheet name="งบแสดงฐานะการเงิน" sheetId="15" r:id="rId18"/>
    <sheet name="NPV,IRR" sheetId="16" r:id="rId19"/>
    <sheet name="Ratio" sheetId="17" r:id="rId20"/>
  </sheets>
  <externalReferences>
    <externalReference r:id="rId2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2" l="1"/>
  <c r="C12" i="10"/>
  <c r="U20" i="19"/>
  <c r="N39" i="20"/>
  <c r="N40" i="20" s="1"/>
  <c r="O36" i="20"/>
  <c r="P36" i="20"/>
  <c r="N29" i="20"/>
  <c r="N30" i="20" s="1"/>
  <c r="G16" i="20"/>
  <c r="G31" i="20" s="1"/>
  <c r="H16" i="20"/>
  <c r="H31" i="20" s="1"/>
  <c r="F16" i="20"/>
  <c r="F31" i="20" s="1"/>
  <c r="AC19" i="3"/>
  <c r="AB14" i="3"/>
  <c r="B6" i="1"/>
  <c r="A3" i="9"/>
  <c r="J6" i="3"/>
  <c r="L87" i="18"/>
  <c r="P2" i="3"/>
  <c r="X75" i="19"/>
  <c r="X74" i="19"/>
  <c r="X73" i="19"/>
  <c r="X72" i="19"/>
  <c r="X71" i="19"/>
  <c r="X70" i="19"/>
  <c r="X69" i="19"/>
  <c r="X68" i="19"/>
  <c r="X67" i="19"/>
  <c r="X66" i="19"/>
  <c r="X65" i="19"/>
  <c r="X64" i="19"/>
  <c r="X60" i="19"/>
  <c r="X59" i="19"/>
  <c r="X58" i="19"/>
  <c r="X57" i="19"/>
  <c r="X56" i="19"/>
  <c r="X55" i="19"/>
  <c r="X54" i="19"/>
  <c r="X53" i="19"/>
  <c r="X52" i="19"/>
  <c r="X51" i="19"/>
  <c r="X50" i="19"/>
  <c r="X49" i="19"/>
  <c r="X45" i="19"/>
  <c r="X44" i="19"/>
  <c r="X43" i="19"/>
  <c r="X42" i="19"/>
  <c r="X41" i="19"/>
  <c r="X40" i="19"/>
  <c r="X39" i="19"/>
  <c r="X38" i="19"/>
  <c r="X37" i="19"/>
  <c r="X36" i="19"/>
  <c r="X35" i="19"/>
  <c r="X34" i="19"/>
  <c r="X30" i="19"/>
  <c r="X29" i="19"/>
  <c r="X28" i="19"/>
  <c r="X27" i="19"/>
  <c r="X26" i="19"/>
  <c r="X25" i="19"/>
  <c r="X24" i="19"/>
  <c r="X23" i="19"/>
  <c r="X22" i="19"/>
  <c r="X21" i="19"/>
  <c r="X20" i="19"/>
  <c r="X19" i="19"/>
  <c r="X4" i="19"/>
  <c r="X5" i="19"/>
  <c r="X6" i="19"/>
  <c r="X7" i="19"/>
  <c r="X8" i="19"/>
  <c r="X9" i="19"/>
  <c r="X10" i="19"/>
  <c r="X11" i="19"/>
  <c r="X12" i="19"/>
  <c r="X13" i="19"/>
  <c r="X14" i="19"/>
  <c r="X3" i="19"/>
  <c r="O71" i="18"/>
  <c r="O70" i="18"/>
  <c r="O69" i="18"/>
  <c r="O68" i="18"/>
  <c r="O67" i="18"/>
  <c r="O66" i="18"/>
  <c r="O65" i="18"/>
  <c r="O64" i="18"/>
  <c r="O63" i="18"/>
  <c r="O62" i="18"/>
  <c r="O61" i="18"/>
  <c r="O60" i="18"/>
  <c r="O59" i="18"/>
  <c r="O58" i="18"/>
  <c r="D3" i="2"/>
  <c r="F71" i="2"/>
  <c r="G70" i="2"/>
  <c r="G69" i="2"/>
  <c r="H69" i="2" s="1"/>
  <c r="G68" i="2"/>
  <c r="H68" i="2" s="1"/>
  <c r="G67" i="2"/>
  <c r="H67" i="2" s="1"/>
  <c r="G66" i="2"/>
  <c r="L89" i="18" l="1"/>
  <c r="N33" i="20" s="1"/>
  <c r="L90" i="18"/>
  <c r="N34" i="20" s="1"/>
  <c r="L88" i="18"/>
  <c r="N32" i="20" s="1"/>
  <c r="N36" i="20" s="1"/>
  <c r="X15" i="19"/>
  <c r="N42" i="20"/>
  <c r="L31" i="20"/>
  <c r="J31" i="20"/>
  <c r="K31" i="20"/>
  <c r="N27" i="20"/>
  <c r="X77" i="19"/>
  <c r="X32" i="19"/>
  <c r="X16" i="19"/>
  <c r="X31" i="19"/>
  <c r="X47" i="19"/>
  <c r="X62" i="19"/>
  <c r="X76" i="19"/>
  <c r="X61" i="19"/>
  <c r="X46" i="19"/>
  <c r="O72" i="18"/>
  <c r="O73" i="18" s="1"/>
  <c r="E90" i="18" s="1"/>
  <c r="G69" i="18"/>
  <c r="H66" i="2"/>
  <c r="H70" i="2"/>
  <c r="G71" i="2"/>
  <c r="Z3" i="19" l="1"/>
  <c r="H71" i="2"/>
  <c r="I43" i="1" l="1"/>
  <c r="E85" i="18" s="1"/>
  <c r="J72" i="18"/>
  <c r="E87" i="18" s="1"/>
  <c r="D59" i="2"/>
  <c r="E58" i="2"/>
  <c r="E57" i="2"/>
  <c r="F57" i="2" s="1"/>
  <c r="E56" i="2"/>
  <c r="E55" i="2"/>
  <c r="E54" i="2"/>
  <c r="D50" i="2"/>
  <c r="E49" i="2"/>
  <c r="E48" i="2"/>
  <c r="F48" i="2" s="1"/>
  <c r="E47" i="2"/>
  <c r="F47" i="2" s="1"/>
  <c r="E46" i="2"/>
  <c r="F46" i="2" s="1"/>
  <c r="E45" i="2"/>
  <c r="D41" i="2"/>
  <c r="E40" i="2"/>
  <c r="E39" i="2"/>
  <c r="F39" i="2" s="1"/>
  <c r="E38" i="2"/>
  <c r="F38" i="2" s="1"/>
  <c r="E37" i="2"/>
  <c r="E36" i="2"/>
  <c r="D32" i="2"/>
  <c r="E31" i="2"/>
  <c r="E30" i="2"/>
  <c r="F30" i="2" s="1"/>
  <c r="E29" i="2"/>
  <c r="E28" i="2"/>
  <c r="F28" i="2" s="1"/>
  <c r="E27" i="2"/>
  <c r="D23" i="2"/>
  <c r="E22" i="2"/>
  <c r="E21" i="2"/>
  <c r="F21" i="2" s="1"/>
  <c r="E20" i="2"/>
  <c r="F20" i="2" s="1"/>
  <c r="E19" i="2"/>
  <c r="E18" i="2"/>
  <c r="E3" i="2"/>
  <c r="I55" i="18"/>
  <c r="E55" i="18"/>
  <c r="E130" i="18"/>
  <c r="G130" i="18" s="1"/>
  <c r="E129" i="18"/>
  <c r="G129" i="18" s="1"/>
  <c r="E128" i="18"/>
  <c r="G128" i="18" s="1"/>
  <c r="E127" i="18"/>
  <c r="G127" i="18" s="1"/>
  <c r="E126" i="18"/>
  <c r="G126" i="18" s="1"/>
  <c r="E125" i="18"/>
  <c r="G125" i="18" s="1"/>
  <c r="E124" i="18"/>
  <c r="G124" i="18" s="1"/>
  <c r="E123" i="18"/>
  <c r="G123" i="18" s="1"/>
  <c r="E122" i="18"/>
  <c r="G122" i="18" s="1"/>
  <c r="E121" i="18"/>
  <c r="G121" i="18" s="1"/>
  <c r="E120" i="18"/>
  <c r="G120" i="18" s="1"/>
  <c r="F97" i="18"/>
  <c r="G97" i="18" s="1"/>
  <c r="F98" i="18"/>
  <c r="G98" i="18" s="1"/>
  <c r="F99" i="18"/>
  <c r="G99" i="18" s="1"/>
  <c r="F100" i="18"/>
  <c r="G100" i="18" s="1"/>
  <c r="F101" i="18"/>
  <c r="G101" i="18" s="1"/>
  <c r="F102" i="18"/>
  <c r="G102" i="18" s="1"/>
  <c r="F96" i="18"/>
  <c r="G96" i="18" s="1"/>
  <c r="E36" i="18"/>
  <c r="E37" i="18"/>
  <c r="E35" i="18"/>
  <c r="E51" i="18"/>
  <c r="E52" i="18"/>
  <c r="E53" i="18"/>
  <c r="E54" i="18"/>
  <c r="E50" i="18"/>
  <c r="E42" i="18"/>
  <c r="E43" i="18"/>
  <c r="E44" i="18"/>
  <c r="E45" i="18"/>
  <c r="E46" i="18"/>
  <c r="E27" i="18"/>
  <c r="E28" i="18"/>
  <c r="E29" i="18"/>
  <c r="E30" i="18"/>
  <c r="E31" i="18"/>
  <c r="E26" i="18"/>
  <c r="E14" i="18"/>
  <c r="E15" i="18"/>
  <c r="E16" i="18"/>
  <c r="E17" i="18"/>
  <c r="E18" i="18"/>
  <c r="E19" i="18"/>
  <c r="E20" i="18"/>
  <c r="E21" i="18"/>
  <c r="E22" i="18"/>
  <c r="E13" i="18"/>
  <c r="C10" i="18"/>
  <c r="B23" i="1"/>
  <c r="P2" i="1"/>
  <c r="Q2" i="1"/>
  <c r="R2" i="1"/>
  <c r="P3" i="1"/>
  <c r="Q3" i="1"/>
  <c r="R3" i="1"/>
  <c r="P4" i="1"/>
  <c r="Q4" i="1"/>
  <c r="R4" i="1"/>
  <c r="P5" i="1"/>
  <c r="Q5" i="1"/>
  <c r="R5" i="1"/>
  <c r="P6" i="1"/>
  <c r="Q6" i="1"/>
  <c r="R6" i="1"/>
  <c r="P7" i="1"/>
  <c r="Q7" i="1"/>
  <c r="R7" i="1"/>
  <c r="P8" i="1"/>
  <c r="Q8" i="1"/>
  <c r="R8" i="1"/>
  <c r="S8" i="1" s="1"/>
  <c r="P9" i="1"/>
  <c r="Q9" i="1"/>
  <c r="R9" i="1"/>
  <c r="P10" i="1"/>
  <c r="Q10" i="1"/>
  <c r="R10" i="1"/>
  <c r="P11" i="1"/>
  <c r="Q11" i="1"/>
  <c r="R11" i="1"/>
  <c r="P12" i="1"/>
  <c r="Q12" i="1"/>
  <c r="R12" i="1"/>
  <c r="S12" i="1" s="1"/>
  <c r="P13" i="1"/>
  <c r="Q13" i="1"/>
  <c r="R13" i="1"/>
  <c r="P14" i="1"/>
  <c r="Q14" i="1"/>
  <c r="R14" i="1"/>
  <c r="P15" i="1"/>
  <c r="Q15" i="1"/>
  <c r="R15" i="1"/>
  <c r="P16" i="1"/>
  <c r="Q16" i="1"/>
  <c r="R16" i="1"/>
  <c r="P17" i="1"/>
  <c r="Q17" i="1"/>
  <c r="R17" i="1"/>
  <c r="P18" i="1"/>
  <c r="Q18" i="1"/>
  <c r="R18" i="1"/>
  <c r="P19" i="1"/>
  <c r="Q19" i="1"/>
  <c r="R19" i="1"/>
  <c r="P20" i="1"/>
  <c r="Q20" i="1"/>
  <c r="R20" i="1"/>
  <c r="P21" i="1"/>
  <c r="Q21" i="1"/>
  <c r="R21" i="1"/>
  <c r="P22" i="1"/>
  <c r="Q22" i="1"/>
  <c r="R22" i="1"/>
  <c r="P23" i="1"/>
  <c r="Q23" i="1"/>
  <c r="R23" i="1"/>
  <c r="K3" i="1"/>
  <c r="L3" i="1" s="1"/>
  <c r="AA3" i="1" s="1"/>
  <c r="K4" i="1"/>
  <c r="K5" i="1"/>
  <c r="K6" i="1"/>
  <c r="L6" i="1" s="1"/>
  <c r="AB6" i="1" s="1"/>
  <c r="K7" i="1"/>
  <c r="K8" i="1"/>
  <c r="K9" i="1"/>
  <c r="W9" i="1" s="1"/>
  <c r="K10" i="1"/>
  <c r="L10" i="1"/>
  <c r="K11" i="1"/>
  <c r="L11" i="1" s="1"/>
  <c r="AB11" i="1" s="1"/>
  <c r="M11" i="1"/>
  <c r="AG11" i="1" s="1"/>
  <c r="K12" i="1"/>
  <c r="K13" i="1"/>
  <c r="U13" i="1" s="1"/>
  <c r="K14" i="1"/>
  <c r="U14" i="1" s="1"/>
  <c r="L14" i="1"/>
  <c r="AB14" i="1" s="1"/>
  <c r="K15" i="1"/>
  <c r="K16" i="1"/>
  <c r="L16" i="1" s="1"/>
  <c r="M16" i="1" s="1"/>
  <c r="AE16" i="1" s="1"/>
  <c r="K17" i="1"/>
  <c r="V17" i="1" s="1"/>
  <c r="K18" i="1"/>
  <c r="L18" i="1" s="1"/>
  <c r="M18" i="1" s="1"/>
  <c r="N18" i="1" s="1"/>
  <c r="K19" i="1"/>
  <c r="L19" i="1" s="1"/>
  <c r="AA19" i="1" s="1"/>
  <c r="K20" i="1"/>
  <c r="K21" i="1"/>
  <c r="V21" i="1" s="1"/>
  <c r="K22" i="1"/>
  <c r="L22" i="1" s="1"/>
  <c r="M22" i="1" s="1"/>
  <c r="N22" i="1" s="1"/>
  <c r="K23" i="1"/>
  <c r="W23" i="1" s="1"/>
  <c r="K2" i="1"/>
  <c r="AB16" i="1"/>
  <c r="AA16" i="1"/>
  <c r="AA18" i="1"/>
  <c r="Z3" i="1"/>
  <c r="Z11" i="1"/>
  <c r="Z19" i="1"/>
  <c r="U3" i="1"/>
  <c r="U8" i="1"/>
  <c r="U10" i="1"/>
  <c r="U15" i="1"/>
  <c r="U16" i="1"/>
  <c r="U19" i="1"/>
  <c r="U20" i="1"/>
  <c r="V19" i="1"/>
  <c r="V3" i="1"/>
  <c r="V9" i="1"/>
  <c r="V10" i="1"/>
  <c r="V13" i="1"/>
  <c r="V14" i="1"/>
  <c r="V22" i="1"/>
  <c r="V23" i="1"/>
  <c r="W3" i="1"/>
  <c r="W7" i="1"/>
  <c r="W10" i="1"/>
  <c r="W13" i="1"/>
  <c r="W14" i="1"/>
  <c r="W15" i="1"/>
  <c r="W19" i="1"/>
  <c r="X19" i="1" s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B31" i="1"/>
  <c r="B4" i="1" s="1"/>
  <c r="E5" i="3"/>
  <c r="E6" i="3"/>
  <c r="K24" i="1"/>
  <c r="L24" i="1" s="1"/>
  <c r="K25" i="1"/>
  <c r="L25" i="1" s="1"/>
  <c r="K26" i="1"/>
  <c r="W26" i="1" s="1"/>
  <c r="K27" i="1"/>
  <c r="U27" i="1" s="1"/>
  <c r="L27" i="1"/>
  <c r="Z27" i="1" s="1"/>
  <c r="K28" i="1"/>
  <c r="L28" i="1" s="1"/>
  <c r="K29" i="1"/>
  <c r="L29" i="1" s="1"/>
  <c r="K30" i="1"/>
  <c r="V30" i="1" s="1"/>
  <c r="L30" i="1"/>
  <c r="K31" i="1"/>
  <c r="V31" i="1" s="1"/>
  <c r="K32" i="1"/>
  <c r="L32" i="1" s="1"/>
  <c r="K33" i="1"/>
  <c r="L33" i="1" s="1"/>
  <c r="K34" i="1"/>
  <c r="U34" i="1" s="1"/>
  <c r="K35" i="1"/>
  <c r="U35" i="1" s="1"/>
  <c r="L35" i="1"/>
  <c r="K36" i="1"/>
  <c r="U36" i="1" s="1"/>
  <c r="K37" i="1"/>
  <c r="L37" i="1" s="1"/>
  <c r="K38" i="1"/>
  <c r="U38" i="1" s="1"/>
  <c r="L38" i="1"/>
  <c r="Z38" i="1" s="1"/>
  <c r="K39" i="1"/>
  <c r="U39" i="1" s="1"/>
  <c r="K40" i="1"/>
  <c r="L40" i="1" s="1"/>
  <c r="K41" i="1"/>
  <c r="L41" i="1" s="1"/>
  <c r="K42" i="1"/>
  <c r="U42" i="1" s="1"/>
  <c r="N89" i="1"/>
  <c r="I6" i="3"/>
  <c r="I62" i="1"/>
  <c r="C9" i="15"/>
  <c r="D9" i="15"/>
  <c r="E9" i="15"/>
  <c r="F9" i="15"/>
  <c r="F28" i="13"/>
  <c r="F32" i="13"/>
  <c r="E28" i="13"/>
  <c r="E32" i="13"/>
  <c r="D28" i="13"/>
  <c r="D32" i="13"/>
  <c r="C28" i="13"/>
  <c r="C32" i="13"/>
  <c r="B28" i="13"/>
  <c r="B32" i="13"/>
  <c r="A7" i="15"/>
  <c r="F15" i="14"/>
  <c r="F16" i="14"/>
  <c r="E15" i="14"/>
  <c r="E16" i="14"/>
  <c r="D15" i="14"/>
  <c r="D16" i="14"/>
  <c r="C15" i="14"/>
  <c r="C16" i="14"/>
  <c r="A14" i="14"/>
  <c r="A12" i="14"/>
  <c r="A38" i="12"/>
  <c r="C3" i="12"/>
  <c r="D3" i="12"/>
  <c r="E3" i="12" s="1"/>
  <c r="F3" i="12" s="1"/>
  <c r="C6" i="12"/>
  <c r="D6" i="12"/>
  <c r="E6" i="12"/>
  <c r="F6" i="12"/>
  <c r="C7" i="12"/>
  <c r="D7" i="12"/>
  <c r="E7" i="12"/>
  <c r="F7" i="12"/>
  <c r="C10" i="12"/>
  <c r="D10" i="12"/>
  <c r="E10" i="12"/>
  <c r="F10" i="12"/>
  <c r="C11" i="12"/>
  <c r="D11" i="12"/>
  <c r="E11" i="12"/>
  <c r="F11" i="12"/>
  <c r="C19" i="12"/>
  <c r="D19" i="12"/>
  <c r="E19" i="12"/>
  <c r="F19" i="12"/>
  <c r="A9" i="11"/>
  <c r="D12" i="10"/>
  <c r="B13" i="10"/>
  <c r="B14" i="10"/>
  <c r="A16" i="9"/>
  <c r="F11" i="9"/>
  <c r="E11" i="9"/>
  <c r="D11" i="9"/>
  <c r="C11" i="9"/>
  <c r="B11" i="9"/>
  <c r="A7" i="9"/>
  <c r="B17" i="8"/>
  <c r="B16" i="8"/>
  <c r="B9" i="15" s="1"/>
  <c r="B14" i="8"/>
  <c r="C8" i="2"/>
  <c r="D4" i="2"/>
  <c r="E4" i="2" s="1"/>
  <c r="D5" i="2"/>
  <c r="E5" i="2" s="1"/>
  <c r="D6" i="2"/>
  <c r="E6" i="2" s="1"/>
  <c r="D7" i="2"/>
  <c r="E7" i="2" s="1"/>
  <c r="Q24" i="1"/>
  <c r="Q25" i="1"/>
  <c r="Q26" i="1"/>
  <c r="Q27" i="1"/>
  <c r="Q28" i="1"/>
  <c r="Q29" i="1"/>
  <c r="Q30" i="1"/>
  <c r="Q31" i="1"/>
  <c r="Q32" i="1"/>
  <c r="S32" i="1" s="1"/>
  <c r="Q33" i="1"/>
  <c r="Q34" i="1"/>
  <c r="Q35" i="1"/>
  <c r="Q36" i="1"/>
  <c r="Q37" i="1"/>
  <c r="Q38" i="1"/>
  <c r="Q39" i="1"/>
  <c r="Q40" i="1"/>
  <c r="S40" i="1" s="1"/>
  <c r="Q41" i="1"/>
  <c r="Q42" i="1"/>
  <c r="S42" i="1" l="1"/>
  <c r="S37" i="1"/>
  <c r="S35" i="1"/>
  <c r="S34" i="1"/>
  <c r="S33" i="1"/>
  <c r="S29" i="1"/>
  <c r="S27" i="1"/>
  <c r="S26" i="1"/>
  <c r="S25" i="1"/>
  <c r="X10" i="1"/>
  <c r="U2" i="1"/>
  <c r="O39" i="20"/>
  <c r="O40" i="20" s="1"/>
  <c r="U5" i="1"/>
  <c r="O29" i="20"/>
  <c r="O30" i="20" s="1"/>
  <c r="S4" i="1"/>
  <c r="S3" i="1"/>
  <c r="B24" i="1"/>
  <c r="D9" i="4"/>
  <c r="B21" i="1"/>
  <c r="B2" i="4" s="1"/>
  <c r="D8" i="3"/>
  <c r="E12" i="10"/>
  <c r="D13" i="10"/>
  <c r="D14" i="10" s="1"/>
  <c r="C13" i="10"/>
  <c r="C14" i="10" s="1"/>
  <c r="B14" i="14"/>
  <c r="B5" i="1"/>
  <c r="B4" i="12" s="1"/>
  <c r="C4" i="12" s="1"/>
  <c r="E56" i="18"/>
  <c r="C77" i="18" s="1"/>
  <c r="C10" i="8" s="1"/>
  <c r="B10" i="8" s="1"/>
  <c r="D8" i="2"/>
  <c r="E8" i="2"/>
  <c r="U5" i="3" s="1"/>
  <c r="F56" i="2"/>
  <c r="F29" i="2"/>
  <c r="F55" i="2"/>
  <c r="E59" i="2"/>
  <c r="F54" i="2"/>
  <c r="F58" i="2"/>
  <c r="F45" i="2"/>
  <c r="F49" i="2"/>
  <c r="E50" i="2"/>
  <c r="F37" i="2"/>
  <c r="E41" i="2"/>
  <c r="F36" i="2"/>
  <c r="F40" i="2"/>
  <c r="E32" i="2"/>
  <c r="F27" i="2"/>
  <c r="F31" i="2"/>
  <c r="F19" i="2"/>
  <c r="E23" i="2"/>
  <c r="F18" i="2"/>
  <c r="F22" i="2"/>
  <c r="W22" i="1"/>
  <c r="AB22" i="1"/>
  <c r="S24" i="1"/>
  <c r="W21" i="1"/>
  <c r="U22" i="1"/>
  <c r="X22" i="1" s="1"/>
  <c r="Z22" i="1"/>
  <c r="AA22" i="1"/>
  <c r="AB18" i="1"/>
  <c r="S21" i="1"/>
  <c r="S17" i="1"/>
  <c r="W5" i="1"/>
  <c r="S11" i="1"/>
  <c r="S7" i="1"/>
  <c r="W39" i="1"/>
  <c r="V6" i="1"/>
  <c r="S22" i="1"/>
  <c r="S18" i="1"/>
  <c r="U6" i="1"/>
  <c r="Q43" i="1"/>
  <c r="W31" i="1"/>
  <c r="W2" i="1"/>
  <c r="S38" i="1"/>
  <c r="S30" i="1"/>
  <c r="W18" i="1"/>
  <c r="V35" i="1"/>
  <c r="V18" i="1"/>
  <c r="V11" i="1"/>
  <c r="V5" i="1"/>
  <c r="X5" i="1" s="1"/>
  <c r="U40" i="1"/>
  <c r="Z18" i="1"/>
  <c r="AC18" i="1" s="1"/>
  <c r="AA11" i="1"/>
  <c r="AC11" i="1" s="1"/>
  <c r="X13" i="1"/>
  <c r="K43" i="1"/>
  <c r="R43" i="1"/>
  <c r="L42" i="1"/>
  <c r="L39" i="1"/>
  <c r="Z39" i="1" s="1"/>
  <c r="L34" i="1"/>
  <c r="AB34" i="1" s="1"/>
  <c r="L31" i="1"/>
  <c r="AA31" i="1" s="1"/>
  <c r="S36" i="1"/>
  <c r="S28" i="1"/>
  <c r="W16" i="1"/>
  <c r="W11" i="1"/>
  <c r="W6" i="1"/>
  <c r="V27" i="1"/>
  <c r="U31" i="1"/>
  <c r="X31" i="1" s="1"/>
  <c r="U18" i="1"/>
  <c r="X18" i="1" s="1"/>
  <c r="U11" i="1"/>
  <c r="X3" i="1"/>
  <c r="Z16" i="1"/>
  <c r="AC16" i="1" s="1"/>
  <c r="AA40" i="1"/>
  <c r="Z40" i="1"/>
  <c r="M40" i="1"/>
  <c r="AB40" i="1"/>
  <c r="AB32" i="1"/>
  <c r="M32" i="1"/>
  <c r="Z32" i="1"/>
  <c r="AA32" i="1"/>
  <c r="Z37" i="1"/>
  <c r="AB37" i="1"/>
  <c r="M37" i="1"/>
  <c r="AA37" i="1"/>
  <c r="Z29" i="1"/>
  <c r="AA29" i="1"/>
  <c r="M29" i="1"/>
  <c r="AB29" i="1"/>
  <c r="AL18" i="1"/>
  <c r="AJ18" i="1"/>
  <c r="AK18" i="1"/>
  <c r="AB28" i="1"/>
  <c r="M28" i="1"/>
  <c r="AA28" i="1"/>
  <c r="Z28" i="1"/>
  <c r="Z25" i="1"/>
  <c r="AA25" i="1"/>
  <c r="M25" i="1"/>
  <c r="AB25" i="1"/>
  <c r="Z41" i="1"/>
  <c r="AA41" i="1"/>
  <c r="M41" i="1"/>
  <c r="AB41" i="1"/>
  <c r="Z33" i="1"/>
  <c r="AB33" i="1"/>
  <c r="M33" i="1"/>
  <c r="AA33" i="1"/>
  <c r="AA24" i="1"/>
  <c r="Z24" i="1"/>
  <c r="M24" i="1"/>
  <c r="AB24" i="1"/>
  <c r="AB35" i="1"/>
  <c r="AA35" i="1"/>
  <c r="Z35" i="1"/>
  <c r="M35" i="1"/>
  <c r="AB31" i="1"/>
  <c r="V42" i="1"/>
  <c r="AA27" i="1"/>
  <c r="L20" i="1"/>
  <c r="V20" i="1"/>
  <c r="W20" i="1"/>
  <c r="L36" i="1"/>
  <c r="S39" i="1"/>
  <c r="S31" i="1"/>
  <c r="W38" i="1"/>
  <c r="W30" i="1"/>
  <c r="V39" i="1"/>
  <c r="X39" i="1" s="1"/>
  <c r="U26" i="1"/>
  <c r="X14" i="1"/>
  <c r="AF18" i="1"/>
  <c r="L15" i="1"/>
  <c r="V15" i="1"/>
  <c r="X15" i="1" s="1"/>
  <c r="L8" i="1"/>
  <c r="W8" i="1"/>
  <c r="V8" i="1"/>
  <c r="AB39" i="1"/>
  <c r="M39" i="1"/>
  <c r="AB27" i="1"/>
  <c r="M27" i="1"/>
  <c r="V34" i="1"/>
  <c r="V26" i="1"/>
  <c r="U30" i="1"/>
  <c r="X30" i="1" s="1"/>
  <c r="W4" i="1"/>
  <c r="V4" i="1"/>
  <c r="V40" i="1"/>
  <c r="W40" i="1"/>
  <c r="V36" i="1"/>
  <c r="W36" i="1"/>
  <c r="U32" i="1"/>
  <c r="V32" i="1"/>
  <c r="W32" i="1"/>
  <c r="V28" i="1"/>
  <c r="W28" i="1"/>
  <c r="U28" i="1"/>
  <c r="V24" i="1"/>
  <c r="W24" i="1"/>
  <c r="W35" i="1"/>
  <c r="X35" i="1" s="1"/>
  <c r="W27" i="1"/>
  <c r="X27" i="1" s="1"/>
  <c r="V38" i="1"/>
  <c r="U24" i="1"/>
  <c r="U4" i="1"/>
  <c r="Z34" i="1"/>
  <c r="L23" i="1"/>
  <c r="U23" i="1"/>
  <c r="X23" i="1" s="1"/>
  <c r="L17" i="1"/>
  <c r="U17" i="1"/>
  <c r="W17" i="1"/>
  <c r="L12" i="1"/>
  <c r="W12" i="1"/>
  <c r="U12" i="1"/>
  <c r="V12" i="1"/>
  <c r="L7" i="1"/>
  <c r="V7" i="1"/>
  <c r="U7" i="1"/>
  <c r="X7" i="1" s="1"/>
  <c r="AA42" i="1"/>
  <c r="AB42" i="1"/>
  <c r="Z42" i="1"/>
  <c r="M42" i="1"/>
  <c r="V41" i="1"/>
  <c r="W41" i="1"/>
  <c r="AA38" i="1"/>
  <c r="AB38" i="1"/>
  <c r="AC38" i="1" s="1"/>
  <c r="M38" i="1"/>
  <c r="U37" i="1"/>
  <c r="V37" i="1"/>
  <c r="W37" i="1"/>
  <c r="AA34" i="1"/>
  <c r="M34" i="1"/>
  <c r="U33" i="1"/>
  <c r="V33" i="1"/>
  <c r="W33" i="1"/>
  <c r="AA30" i="1"/>
  <c r="Z30" i="1"/>
  <c r="M30" i="1"/>
  <c r="U29" i="1"/>
  <c r="V29" i="1"/>
  <c r="W29" i="1"/>
  <c r="L26" i="1"/>
  <c r="U25" i="1"/>
  <c r="V25" i="1"/>
  <c r="W25" i="1"/>
  <c r="S41" i="1"/>
  <c r="W42" i="1"/>
  <c r="W34" i="1"/>
  <c r="U41" i="1"/>
  <c r="AA39" i="1"/>
  <c r="AC39" i="1" s="1"/>
  <c r="AB30" i="1"/>
  <c r="AL22" i="1"/>
  <c r="AJ22" i="1"/>
  <c r="AK22" i="1"/>
  <c r="AG18" i="1"/>
  <c r="AE18" i="1"/>
  <c r="AG16" i="1"/>
  <c r="N16" i="1"/>
  <c r="AF16" i="1"/>
  <c r="AH16" i="1" s="1"/>
  <c r="L4" i="1"/>
  <c r="V16" i="1"/>
  <c r="AB3" i="1"/>
  <c r="AC3" i="1" s="1"/>
  <c r="M14" i="1"/>
  <c r="AF14" i="1" s="1"/>
  <c r="L13" i="1"/>
  <c r="L9" i="1"/>
  <c r="U9" i="1"/>
  <c r="X9" i="1" s="1"/>
  <c r="M6" i="1"/>
  <c r="AF6" i="1" s="1"/>
  <c r="L5" i="1"/>
  <c r="P29" i="20" s="1"/>
  <c r="P30" i="20" s="1"/>
  <c r="M3" i="1"/>
  <c r="AG22" i="1"/>
  <c r="AF22" i="1"/>
  <c r="AE22" i="1"/>
  <c r="L21" i="1"/>
  <c r="U21" i="1"/>
  <c r="X21" i="1" s="1"/>
  <c r="M19" i="1"/>
  <c r="AB19" i="1"/>
  <c r="AC19" i="1" s="1"/>
  <c r="AB10" i="1"/>
  <c r="M10" i="1"/>
  <c r="AF10" i="1" s="1"/>
  <c r="S20" i="1"/>
  <c r="S16" i="1"/>
  <c r="S23" i="1"/>
  <c r="S19" i="1"/>
  <c r="S15" i="1"/>
  <c r="S13" i="1"/>
  <c r="S9" i="1"/>
  <c r="S14" i="1"/>
  <c r="S10" i="1"/>
  <c r="S6" i="1"/>
  <c r="N11" i="1"/>
  <c r="S5" i="1"/>
  <c r="AG6" i="1"/>
  <c r="AE11" i="1"/>
  <c r="AF11" i="1"/>
  <c r="Z14" i="1"/>
  <c r="Z10" i="1"/>
  <c r="Z6" i="1"/>
  <c r="AA14" i="1"/>
  <c r="AA10" i="1"/>
  <c r="AA6" i="1"/>
  <c r="AE6" i="1"/>
  <c r="AH6" i="1" s="1"/>
  <c r="G131" i="18"/>
  <c r="G103" i="18"/>
  <c r="G106" i="18" s="1"/>
  <c r="D9" i="3"/>
  <c r="E23" i="18"/>
  <c r="C73" i="18" s="1"/>
  <c r="E47" i="18"/>
  <c r="C76" i="18" s="1"/>
  <c r="C9" i="8" s="1"/>
  <c r="B9" i="8" s="1"/>
  <c r="E32" i="18"/>
  <c r="C74" i="18" s="1"/>
  <c r="L2" i="1"/>
  <c r="P39" i="20" s="1"/>
  <c r="P40" i="20" s="1"/>
  <c r="V2" i="1"/>
  <c r="I8" i="3"/>
  <c r="S2" i="1"/>
  <c r="P43" i="1"/>
  <c r="C6" i="8" l="1"/>
  <c r="D73" i="18"/>
  <c r="E75" i="18"/>
  <c r="B9" i="1" s="1"/>
  <c r="C7" i="8"/>
  <c r="P27" i="20"/>
  <c r="P42" i="20"/>
  <c r="X34" i="1"/>
  <c r="X26" i="1"/>
  <c r="AC41" i="1"/>
  <c r="AC25" i="1"/>
  <c r="AC22" i="1"/>
  <c r="G36" i="2"/>
  <c r="G18" i="2"/>
  <c r="O42" i="20"/>
  <c r="O27" i="20"/>
  <c r="E13" i="10"/>
  <c r="E14" i="10" s="1"/>
  <c r="F12" i="10"/>
  <c r="F13" i="10" s="1"/>
  <c r="F14" i="10" s="1"/>
  <c r="F5" i="2"/>
  <c r="G37" i="2"/>
  <c r="G56" i="2"/>
  <c r="F3" i="2"/>
  <c r="G40" i="2"/>
  <c r="G39" i="2"/>
  <c r="G38" i="2"/>
  <c r="G27" i="2"/>
  <c r="G31" i="2"/>
  <c r="G30" i="2"/>
  <c r="G57" i="2"/>
  <c r="F6" i="2"/>
  <c r="G28" i="2"/>
  <c r="G19" i="2"/>
  <c r="I68" i="2"/>
  <c r="I70" i="2"/>
  <c r="I67" i="2"/>
  <c r="I66" i="2"/>
  <c r="I69" i="2"/>
  <c r="G29" i="2"/>
  <c r="F4" i="2"/>
  <c r="F7" i="2"/>
  <c r="G55" i="2"/>
  <c r="G45" i="2"/>
  <c r="G49" i="2"/>
  <c r="G47" i="2"/>
  <c r="F32" i="2"/>
  <c r="G46" i="2"/>
  <c r="G48" i="2"/>
  <c r="G58" i="2"/>
  <c r="G54" i="2"/>
  <c r="G20" i="2"/>
  <c r="G22" i="2"/>
  <c r="G21" i="2"/>
  <c r="F41" i="2"/>
  <c r="F59" i="2"/>
  <c r="F50" i="2"/>
  <c r="F23" i="2"/>
  <c r="H106" i="18"/>
  <c r="E116" i="18" s="1"/>
  <c r="B3" i="5"/>
  <c r="X16" i="1"/>
  <c r="AE10" i="1"/>
  <c r="W43" i="1"/>
  <c r="X8" i="1"/>
  <c r="S43" i="1"/>
  <c r="E89" i="18" s="1"/>
  <c r="AG14" i="1"/>
  <c r="N14" i="1"/>
  <c r="AL14" i="1" s="1"/>
  <c r="X42" i="1"/>
  <c r="X25" i="1"/>
  <c r="X29" i="1"/>
  <c r="X38" i="1"/>
  <c r="X36" i="1"/>
  <c r="M31" i="1"/>
  <c r="AE14" i="1"/>
  <c r="U43" i="1"/>
  <c r="X41" i="1"/>
  <c r="X12" i="1"/>
  <c r="X28" i="1"/>
  <c r="Z31" i="1"/>
  <c r="X6" i="1"/>
  <c r="AC10" i="1"/>
  <c r="N6" i="1"/>
  <c r="AK6" i="1" s="1"/>
  <c r="AH18" i="1"/>
  <c r="AC30" i="1"/>
  <c r="AC27" i="1"/>
  <c r="AC40" i="1"/>
  <c r="X11" i="1"/>
  <c r="Z21" i="1"/>
  <c r="AB21" i="1"/>
  <c r="M21" i="1"/>
  <c r="AA21" i="1"/>
  <c r="N3" i="1"/>
  <c r="AF3" i="1"/>
  <c r="AE3" i="1"/>
  <c r="AG3" i="1"/>
  <c r="AA26" i="1"/>
  <c r="AB26" i="1"/>
  <c r="Z26" i="1"/>
  <c r="M26" i="1"/>
  <c r="AG30" i="1"/>
  <c r="AF30" i="1"/>
  <c r="N30" i="1"/>
  <c r="AE30" i="1"/>
  <c r="AG42" i="1"/>
  <c r="AF42" i="1"/>
  <c r="AE42" i="1"/>
  <c r="N42" i="1"/>
  <c r="X17" i="1"/>
  <c r="AC34" i="1"/>
  <c r="AG10" i="1"/>
  <c r="N10" i="1"/>
  <c r="AJ10" i="1" s="1"/>
  <c r="AH22" i="1"/>
  <c r="Z5" i="1"/>
  <c r="AB5" i="1"/>
  <c r="AA5" i="1"/>
  <c r="M5" i="1"/>
  <c r="AA13" i="1"/>
  <c r="Z13" i="1"/>
  <c r="AB13" i="1"/>
  <c r="M13" i="1"/>
  <c r="M4" i="1"/>
  <c r="AB4" i="1"/>
  <c r="AA4" i="1"/>
  <c r="Z4" i="1"/>
  <c r="AC4" i="1" s="1"/>
  <c r="X33" i="1"/>
  <c r="AC42" i="1"/>
  <c r="Z17" i="1"/>
  <c r="AB17" i="1"/>
  <c r="AA17" i="1"/>
  <c r="M17" i="1"/>
  <c r="X4" i="1"/>
  <c r="X32" i="1"/>
  <c r="X40" i="1"/>
  <c r="M15" i="1"/>
  <c r="AB15" i="1"/>
  <c r="Z15" i="1"/>
  <c r="AA15" i="1"/>
  <c r="AA20" i="1"/>
  <c r="Z20" i="1"/>
  <c r="M20" i="1"/>
  <c r="AB20" i="1"/>
  <c r="AF31" i="1"/>
  <c r="AE31" i="1"/>
  <c r="N31" i="1"/>
  <c r="AG31" i="1"/>
  <c r="AF35" i="1"/>
  <c r="AG35" i="1"/>
  <c r="N35" i="1"/>
  <c r="AE35" i="1"/>
  <c r="AC24" i="1"/>
  <c r="AG33" i="1"/>
  <c r="AF33" i="1"/>
  <c r="AE33" i="1"/>
  <c r="N33" i="1"/>
  <c r="AC28" i="1"/>
  <c r="AC32" i="1"/>
  <c r="AC14" i="1"/>
  <c r="AF19" i="1"/>
  <c r="AE19" i="1"/>
  <c r="AG19" i="1"/>
  <c r="N19" i="1"/>
  <c r="AG34" i="1"/>
  <c r="AE34" i="1"/>
  <c r="N34" i="1"/>
  <c r="AF34" i="1"/>
  <c r="X37" i="1"/>
  <c r="M7" i="1"/>
  <c r="Z7" i="1"/>
  <c r="AB7" i="1"/>
  <c r="AA7" i="1"/>
  <c r="M12" i="1"/>
  <c r="Z12" i="1"/>
  <c r="AA12" i="1"/>
  <c r="AB12" i="1"/>
  <c r="X24" i="1"/>
  <c r="AF39" i="1"/>
  <c r="AG39" i="1"/>
  <c r="N39" i="1"/>
  <c r="AE39" i="1"/>
  <c r="AA36" i="1"/>
  <c r="Z36" i="1"/>
  <c r="M36" i="1"/>
  <c r="AB36" i="1"/>
  <c r="AC31" i="1"/>
  <c r="AC35" i="1"/>
  <c r="AG41" i="1"/>
  <c r="AF41" i="1"/>
  <c r="AE41" i="1"/>
  <c r="AH41" i="1" s="1"/>
  <c r="N41" i="1"/>
  <c r="AG25" i="1"/>
  <c r="AE25" i="1"/>
  <c r="AF25" i="1"/>
  <c r="N25" i="1"/>
  <c r="AC29" i="1"/>
  <c r="AC37" i="1"/>
  <c r="AG32" i="1"/>
  <c r="AE32" i="1"/>
  <c r="N32" i="1"/>
  <c r="AF32" i="1"/>
  <c r="AG40" i="1"/>
  <c r="AE40" i="1"/>
  <c r="AF40" i="1"/>
  <c r="N40" i="1"/>
  <c r="AL16" i="1"/>
  <c r="AK16" i="1"/>
  <c r="AJ16" i="1"/>
  <c r="AG38" i="1"/>
  <c r="AF38" i="1"/>
  <c r="AE38" i="1"/>
  <c r="N38" i="1"/>
  <c r="M23" i="1"/>
  <c r="AB23" i="1"/>
  <c r="Z23" i="1"/>
  <c r="AA23" i="1"/>
  <c r="AF27" i="1"/>
  <c r="AE27" i="1"/>
  <c r="AG27" i="1"/>
  <c r="N27" i="1"/>
  <c r="M8" i="1"/>
  <c r="AA8" i="1"/>
  <c r="AB8" i="1"/>
  <c r="Z8" i="1"/>
  <c r="AC33" i="1"/>
  <c r="AG28" i="1"/>
  <c r="AF28" i="1"/>
  <c r="AE28" i="1"/>
  <c r="N28" i="1"/>
  <c r="AB9" i="1"/>
  <c r="AA9" i="1"/>
  <c r="M9" i="1"/>
  <c r="Z9" i="1"/>
  <c r="AM22" i="1"/>
  <c r="X20" i="1"/>
  <c r="AG24" i="1"/>
  <c r="AF24" i="1"/>
  <c r="AE24" i="1"/>
  <c r="N24" i="1"/>
  <c r="AM18" i="1"/>
  <c r="AG29" i="1"/>
  <c r="AF29" i="1"/>
  <c r="AE29" i="1"/>
  <c r="N29" i="1"/>
  <c r="AG37" i="1"/>
  <c r="AE37" i="1"/>
  <c r="AF37" i="1"/>
  <c r="N37" i="1"/>
  <c r="AJ6" i="1"/>
  <c r="AL6" i="1"/>
  <c r="AK10" i="1"/>
  <c r="AK14" i="1"/>
  <c r="AJ14" i="1"/>
  <c r="AL11" i="1"/>
  <c r="AK11" i="1"/>
  <c r="AJ11" i="1"/>
  <c r="AH10" i="1"/>
  <c r="AH11" i="1"/>
  <c r="AH14" i="1"/>
  <c r="AC6" i="1"/>
  <c r="N96" i="18"/>
  <c r="P96" i="18" s="1"/>
  <c r="C116" i="18"/>
  <c r="D10" i="3"/>
  <c r="I9" i="3"/>
  <c r="AA2" i="1"/>
  <c r="L43" i="1"/>
  <c r="Z2" i="1"/>
  <c r="AB2" i="1"/>
  <c r="M2" i="1"/>
  <c r="X2" i="1"/>
  <c r="V43" i="1"/>
  <c r="AC12" i="1" l="1"/>
  <c r="AC7" i="1"/>
  <c r="B13" i="1"/>
  <c r="L8" i="3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AD19" i="3"/>
  <c r="G32" i="2"/>
  <c r="G41" i="2"/>
  <c r="F8" i="2"/>
  <c r="G59" i="2"/>
  <c r="I71" i="2"/>
  <c r="E84" i="18"/>
  <c r="J8" i="3"/>
  <c r="G50" i="2"/>
  <c r="G23" i="2"/>
  <c r="B7" i="8"/>
  <c r="AH24" i="1"/>
  <c r="AA43" i="1"/>
  <c r="AL10" i="1"/>
  <c r="AM10" i="1" s="1"/>
  <c r="AC8" i="1"/>
  <c r="AC13" i="1"/>
  <c r="AB43" i="1"/>
  <c r="AC9" i="1"/>
  <c r="AH29" i="1"/>
  <c r="AC23" i="1"/>
  <c r="AH38" i="1"/>
  <c r="AH40" i="1"/>
  <c r="AH32" i="1"/>
  <c r="AC36" i="1"/>
  <c r="AH33" i="1"/>
  <c r="AH35" i="1"/>
  <c r="AC5" i="1"/>
  <c r="AL24" i="1"/>
  <c r="AJ24" i="1"/>
  <c r="AK24" i="1"/>
  <c r="AH37" i="1"/>
  <c r="AH27" i="1"/>
  <c r="AJ35" i="1"/>
  <c r="AL35" i="1"/>
  <c r="AK35" i="1"/>
  <c r="AG20" i="1"/>
  <c r="N20" i="1"/>
  <c r="AE20" i="1"/>
  <c r="AF20" i="1"/>
  <c r="AC15" i="1"/>
  <c r="AG5" i="1"/>
  <c r="AF5" i="1"/>
  <c r="AE5" i="1"/>
  <c r="N5" i="1"/>
  <c r="AC21" i="1"/>
  <c r="AL28" i="1"/>
  <c r="AJ28" i="1"/>
  <c r="AK28" i="1"/>
  <c r="AG8" i="1"/>
  <c r="AE8" i="1"/>
  <c r="AF8" i="1"/>
  <c r="N8" i="1"/>
  <c r="AF23" i="1"/>
  <c r="AE23" i="1"/>
  <c r="AG23" i="1"/>
  <c r="N23" i="1"/>
  <c r="AL40" i="1"/>
  <c r="AK40" i="1"/>
  <c r="AJ40" i="1"/>
  <c r="AM40" i="1" s="1"/>
  <c r="AH25" i="1"/>
  <c r="AH39" i="1"/>
  <c r="AG12" i="1"/>
  <c r="AF12" i="1"/>
  <c r="AE12" i="1"/>
  <c r="N12" i="1"/>
  <c r="AG7" i="1"/>
  <c r="N7" i="1"/>
  <c r="AE7" i="1"/>
  <c r="AF7" i="1"/>
  <c r="AH34" i="1"/>
  <c r="AH19" i="1"/>
  <c r="AH31" i="1"/>
  <c r="AC20" i="1"/>
  <c r="AC17" i="1"/>
  <c r="AL42" i="1"/>
  <c r="AK42" i="1"/>
  <c r="AJ42" i="1"/>
  <c r="AH30" i="1"/>
  <c r="AG26" i="1"/>
  <c r="AE26" i="1"/>
  <c r="AF26" i="1"/>
  <c r="N26" i="1"/>
  <c r="X43" i="1"/>
  <c r="B14" i="1" s="1"/>
  <c r="L24" i="3" s="1"/>
  <c r="AK37" i="1"/>
  <c r="AL37" i="1"/>
  <c r="AJ37" i="1"/>
  <c r="AK29" i="1"/>
  <c r="AL29" i="1"/>
  <c r="AJ29" i="1"/>
  <c r="AG9" i="1"/>
  <c r="AE9" i="1"/>
  <c r="N9" i="1"/>
  <c r="AF9" i="1"/>
  <c r="AH28" i="1"/>
  <c r="AJ27" i="1"/>
  <c r="AL27" i="1"/>
  <c r="AK27" i="1"/>
  <c r="AL38" i="1"/>
  <c r="AJ38" i="1"/>
  <c r="AK38" i="1"/>
  <c r="AM16" i="1"/>
  <c r="AL32" i="1"/>
  <c r="AJ32" i="1"/>
  <c r="AK32" i="1"/>
  <c r="AG36" i="1"/>
  <c r="AE36" i="1"/>
  <c r="AF36" i="1"/>
  <c r="N36" i="1"/>
  <c r="AJ39" i="1"/>
  <c r="AL39" i="1"/>
  <c r="AK39" i="1"/>
  <c r="AK33" i="1"/>
  <c r="AJ33" i="1"/>
  <c r="AL33" i="1"/>
  <c r="AF15" i="1"/>
  <c r="AE15" i="1"/>
  <c r="N15" i="1"/>
  <c r="AG15" i="1"/>
  <c r="AG17" i="1"/>
  <c r="AF17" i="1"/>
  <c r="AE17" i="1"/>
  <c r="N17" i="1"/>
  <c r="AH42" i="1"/>
  <c r="AL30" i="1"/>
  <c r="AK30" i="1"/>
  <c r="AJ30" i="1"/>
  <c r="AC26" i="1"/>
  <c r="AH3" i="1"/>
  <c r="AG21" i="1"/>
  <c r="AF21" i="1"/>
  <c r="AE21" i="1"/>
  <c r="AH21" i="1" s="1"/>
  <c r="N21" i="1"/>
  <c r="AK25" i="1"/>
  <c r="AL25" i="1"/>
  <c r="AJ25" i="1"/>
  <c r="AM25" i="1" s="1"/>
  <c r="AK41" i="1"/>
  <c r="AL41" i="1"/>
  <c r="AJ41" i="1"/>
  <c r="AJ19" i="1"/>
  <c r="AL19" i="1"/>
  <c r="AK19" i="1"/>
  <c r="N4" i="1"/>
  <c r="AG4" i="1"/>
  <c r="AF4" i="1"/>
  <c r="AE4" i="1"/>
  <c r="AL34" i="1"/>
  <c r="AK34" i="1"/>
  <c r="AJ34" i="1"/>
  <c r="AM34" i="1" s="1"/>
  <c r="AJ31" i="1"/>
  <c r="AK31" i="1"/>
  <c r="AL31" i="1"/>
  <c r="AG13" i="1"/>
  <c r="N13" i="1"/>
  <c r="AE13" i="1"/>
  <c r="AF13" i="1"/>
  <c r="AK3" i="1"/>
  <c r="AJ3" i="1"/>
  <c r="AL3" i="1"/>
  <c r="AM6" i="1"/>
  <c r="AM11" i="1"/>
  <c r="AM14" i="1"/>
  <c r="N97" i="18"/>
  <c r="D11" i="3"/>
  <c r="I10" i="3"/>
  <c r="AG2" i="1"/>
  <c r="AE2" i="1"/>
  <c r="M43" i="1"/>
  <c r="AF2" i="1"/>
  <c r="N2" i="1"/>
  <c r="D4" i="12"/>
  <c r="AC2" i="1"/>
  <c r="Z43" i="1"/>
  <c r="AH26" i="1" l="1"/>
  <c r="AM35" i="1"/>
  <c r="B5" i="12"/>
  <c r="C5" i="12" s="1"/>
  <c r="D5" i="12" s="1"/>
  <c r="E5" i="12" s="1"/>
  <c r="F5" i="12" s="1"/>
  <c r="E92" i="18"/>
  <c r="L20" i="3"/>
  <c r="L21" i="3"/>
  <c r="L25" i="3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J9" i="3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4" i="3" s="1"/>
  <c r="J25" i="3" s="1"/>
  <c r="AH15" i="1"/>
  <c r="AM24" i="1"/>
  <c r="AH7" i="1"/>
  <c r="AH12" i="1"/>
  <c r="AH9" i="1"/>
  <c r="AG43" i="1"/>
  <c r="AH13" i="1"/>
  <c r="AH8" i="1"/>
  <c r="AH5" i="1"/>
  <c r="AC43" i="1"/>
  <c r="B15" i="1" s="1"/>
  <c r="L39" i="3" s="1"/>
  <c r="AM19" i="1"/>
  <c r="AM32" i="1"/>
  <c r="AM38" i="1"/>
  <c r="AM27" i="1"/>
  <c r="AL7" i="1"/>
  <c r="AK7" i="1"/>
  <c r="AJ7" i="1"/>
  <c r="AM28" i="1"/>
  <c r="AL5" i="1"/>
  <c r="AK5" i="1"/>
  <c r="AJ5" i="1"/>
  <c r="AF43" i="1"/>
  <c r="AL4" i="1"/>
  <c r="AK4" i="1"/>
  <c r="AJ4" i="1"/>
  <c r="AM4" i="1" s="1"/>
  <c r="AM41" i="1"/>
  <c r="AM30" i="1"/>
  <c r="AK17" i="1"/>
  <c r="AJ17" i="1"/>
  <c r="AL17" i="1"/>
  <c r="AH36" i="1"/>
  <c r="AM37" i="1"/>
  <c r="AL26" i="1"/>
  <c r="AK26" i="1"/>
  <c r="AJ26" i="1"/>
  <c r="AH23" i="1"/>
  <c r="AM3" i="1"/>
  <c r="AL13" i="1"/>
  <c r="AK13" i="1"/>
  <c r="AJ13" i="1"/>
  <c r="AM13" i="1" s="1"/>
  <c r="AM31" i="1"/>
  <c r="AH4" i="1"/>
  <c r="AH17" i="1"/>
  <c r="AJ15" i="1"/>
  <c r="AK15" i="1"/>
  <c r="AL15" i="1"/>
  <c r="AM33" i="1"/>
  <c r="AM39" i="1"/>
  <c r="AM29" i="1"/>
  <c r="AM42" i="1"/>
  <c r="AJ12" i="1"/>
  <c r="AL12" i="1"/>
  <c r="AK12" i="1"/>
  <c r="AH20" i="1"/>
  <c r="AK21" i="1"/>
  <c r="AL21" i="1"/>
  <c r="AJ21" i="1"/>
  <c r="AM21" i="1" s="1"/>
  <c r="AL36" i="1"/>
  <c r="AK36" i="1"/>
  <c r="AJ36" i="1"/>
  <c r="AM36" i="1" s="1"/>
  <c r="AL9" i="1"/>
  <c r="AK9" i="1"/>
  <c r="AJ9" i="1"/>
  <c r="AJ23" i="1"/>
  <c r="AL23" i="1"/>
  <c r="AK23" i="1"/>
  <c r="AK8" i="1"/>
  <c r="AJ8" i="1"/>
  <c r="AL8" i="1"/>
  <c r="AL20" i="1"/>
  <c r="AK20" i="1"/>
  <c r="AJ20" i="1"/>
  <c r="N98" i="18"/>
  <c r="P98" i="18" s="1"/>
  <c r="P97" i="18"/>
  <c r="D12" i="3"/>
  <c r="E4" i="12"/>
  <c r="AH2" i="1"/>
  <c r="AE43" i="1"/>
  <c r="I11" i="3"/>
  <c r="AJ2" i="1"/>
  <c r="AK2" i="1"/>
  <c r="AL2" i="1"/>
  <c r="N43" i="1"/>
  <c r="G83" i="18" l="1"/>
  <c r="H83" i="18" s="1"/>
  <c r="M16" i="20" s="1"/>
  <c r="W3" i="3"/>
  <c r="K8" i="3"/>
  <c r="L36" i="3"/>
  <c r="L40" i="3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J20" i="3"/>
  <c r="J26" i="3"/>
  <c r="J27" i="3" s="1"/>
  <c r="J28" i="3" s="1"/>
  <c r="J29" i="3" s="1"/>
  <c r="J30" i="3" s="1"/>
  <c r="J31" i="3" s="1"/>
  <c r="J32" i="3" s="1"/>
  <c r="J33" i="3" s="1"/>
  <c r="J34" i="3" s="1"/>
  <c r="J35" i="3" s="1"/>
  <c r="J39" i="3" s="1"/>
  <c r="AM20" i="1"/>
  <c r="AM17" i="1"/>
  <c r="AK43" i="1"/>
  <c r="AH43" i="1"/>
  <c r="B16" i="1" s="1"/>
  <c r="L54" i="3" s="1"/>
  <c r="AM5" i="1"/>
  <c r="AM7" i="1"/>
  <c r="AM8" i="1"/>
  <c r="AM9" i="1"/>
  <c r="AM12" i="1"/>
  <c r="AM23" i="1"/>
  <c r="AM15" i="1"/>
  <c r="AM26" i="1"/>
  <c r="AL43" i="1"/>
  <c r="P99" i="18"/>
  <c r="P101" i="18" s="1"/>
  <c r="D13" i="3"/>
  <c r="F4" i="12"/>
  <c r="AM2" i="1"/>
  <c r="AJ43" i="1"/>
  <c r="I12" i="3"/>
  <c r="L4" i="3" l="1"/>
  <c r="N44" i="20"/>
  <c r="N45" i="20" s="1"/>
  <c r="O5" i="3"/>
  <c r="L51" i="3"/>
  <c r="L55" i="3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J36" i="3"/>
  <c r="J40" i="3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4" i="3" s="1"/>
  <c r="AM43" i="1"/>
  <c r="B17" i="1" s="1"/>
  <c r="L69" i="3" s="1"/>
  <c r="D14" i="3"/>
  <c r="I13" i="3"/>
  <c r="L66" i="3" l="1"/>
  <c r="L70" i="3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J51" i="3"/>
  <c r="J55" i="3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J69" i="3" s="1"/>
  <c r="D15" i="3"/>
  <c r="I14" i="3"/>
  <c r="L81" i="3" l="1"/>
  <c r="J66" i="3"/>
  <c r="J70" i="3"/>
  <c r="J71" i="3" s="1"/>
  <c r="J72" i="3" s="1"/>
  <c r="J73" i="3" s="1"/>
  <c r="J74" i="3" s="1"/>
  <c r="J75" i="3" s="1"/>
  <c r="J76" i="3" s="1"/>
  <c r="J77" i="3" s="1"/>
  <c r="J78" i="3" s="1"/>
  <c r="J79" i="3" s="1"/>
  <c r="J80" i="3" s="1"/>
  <c r="D16" i="3"/>
  <c r="I15" i="3"/>
  <c r="J81" i="3" l="1"/>
  <c r="D17" i="3"/>
  <c r="I16" i="3"/>
  <c r="D18" i="3" l="1"/>
  <c r="I17" i="3"/>
  <c r="D19" i="3" l="1"/>
  <c r="I18" i="3"/>
  <c r="D24" i="3" l="1"/>
  <c r="I19" i="3"/>
  <c r="I20" i="3" s="1"/>
  <c r="D25" i="3" l="1"/>
  <c r="U5" i="19"/>
  <c r="V5" i="19" s="1"/>
  <c r="U4" i="19"/>
  <c r="V4" i="19" s="1"/>
  <c r="I24" i="3"/>
  <c r="I21" i="3"/>
  <c r="B6" i="6" s="1"/>
  <c r="D26" i="3" l="1"/>
  <c r="U6" i="19"/>
  <c r="V6" i="19" s="1"/>
  <c r="V7" i="19" s="1"/>
  <c r="S10" i="19" s="1"/>
  <c r="I25" i="3"/>
  <c r="D27" i="3" l="1"/>
  <c r="Q20" i="3"/>
  <c r="T10" i="19"/>
  <c r="R20" i="3" s="1"/>
  <c r="I26" i="3"/>
  <c r="D28" i="3" l="1"/>
  <c r="H17" i="2"/>
  <c r="I27" i="3"/>
  <c r="D29" i="3" l="1"/>
  <c r="H19" i="2"/>
  <c r="I19" i="2" s="1"/>
  <c r="J19" i="2" s="1"/>
  <c r="H18" i="2"/>
  <c r="H22" i="2"/>
  <c r="I22" i="2" s="1"/>
  <c r="J22" i="2" s="1"/>
  <c r="H21" i="2"/>
  <c r="H20" i="2"/>
  <c r="I28" i="3"/>
  <c r="I21" i="2" l="1"/>
  <c r="J21" i="2" s="1"/>
  <c r="D30" i="3"/>
  <c r="I18" i="2"/>
  <c r="J18" i="2" s="1"/>
  <c r="H23" i="2"/>
  <c r="I20" i="2"/>
  <c r="I29" i="3"/>
  <c r="D31" i="3" l="1"/>
  <c r="I23" i="2"/>
  <c r="J20" i="2"/>
  <c r="J23" i="2" s="1"/>
  <c r="I30" i="3"/>
  <c r="D32" i="3" l="1"/>
  <c r="I31" i="3"/>
  <c r="D33" i="3" l="1"/>
  <c r="I32" i="3"/>
  <c r="D34" i="3" l="1"/>
  <c r="I33" i="3"/>
  <c r="D35" i="3" l="1"/>
  <c r="I34" i="3"/>
  <c r="D39" i="3" l="1"/>
  <c r="I35" i="3"/>
  <c r="I36" i="3" s="1"/>
  <c r="D40" i="3" l="1"/>
  <c r="U21" i="19"/>
  <c r="V21" i="19" s="1"/>
  <c r="V20" i="19"/>
  <c r="I39" i="3"/>
  <c r="U22" i="19" l="1"/>
  <c r="V22" i="19" s="1"/>
  <c r="V23" i="19" s="1"/>
  <c r="D41" i="3"/>
  <c r="I40" i="3"/>
  <c r="S26" i="19" l="1"/>
  <c r="Q36" i="3"/>
  <c r="T26" i="19"/>
  <c r="R36" i="3" s="1"/>
  <c r="D42" i="3"/>
  <c r="I41" i="3"/>
  <c r="H26" i="2" l="1"/>
  <c r="H30" i="2" s="1"/>
  <c r="D43" i="3"/>
  <c r="H31" i="2"/>
  <c r="I42" i="3"/>
  <c r="H27" i="2" l="1"/>
  <c r="I27" i="2" s="1"/>
  <c r="J27" i="2" s="1"/>
  <c r="H29" i="2"/>
  <c r="H28" i="2"/>
  <c r="D44" i="3"/>
  <c r="I30" i="2"/>
  <c r="J30" i="2" s="1"/>
  <c r="I29" i="2"/>
  <c r="J29" i="2" s="1"/>
  <c r="I31" i="2"/>
  <c r="J31" i="2" s="1"/>
  <c r="I43" i="3"/>
  <c r="H32" i="2" l="1"/>
  <c r="I28" i="2"/>
  <c r="J28" i="2" s="1"/>
  <c r="J32" i="2" s="1"/>
  <c r="D45" i="3"/>
  <c r="I44" i="3"/>
  <c r="I32" i="2" l="1"/>
  <c r="D46" i="3"/>
  <c r="I45" i="3"/>
  <c r="D47" i="3" l="1"/>
  <c r="I46" i="3"/>
  <c r="D48" i="3" l="1"/>
  <c r="I47" i="3"/>
  <c r="D49" i="3" l="1"/>
  <c r="I48" i="3"/>
  <c r="D50" i="3" l="1"/>
  <c r="I49" i="3"/>
  <c r="D54" i="3" l="1"/>
  <c r="I50" i="3"/>
  <c r="I51" i="3" s="1"/>
  <c r="D55" i="3" l="1"/>
  <c r="U36" i="19"/>
  <c r="V36" i="19" s="1"/>
  <c r="U35" i="19"/>
  <c r="V35" i="19" s="1"/>
  <c r="I54" i="3"/>
  <c r="D56" i="3" l="1"/>
  <c r="U37" i="19"/>
  <c r="V37" i="19" s="1"/>
  <c r="V38" i="19" s="1"/>
  <c r="I55" i="3"/>
  <c r="D57" i="3" l="1"/>
  <c r="Q51" i="3"/>
  <c r="S41" i="19"/>
  <c r="T41" i="19" s="1"/>
  <c r="I56" i="3"/>
  <c r="D58" i="3" l="1"/>
  <c r="R51" i="3"/>
  <c r="H35" i="2"/>
  <c r="I57" i="3"/>
  <c r="D59" i="3" l="1"/>
  <c r="H38" i="2"/>
  <c r="H39" i="2"/>
  <c r="H40" i="2"/>
  <c r="H37" i="2"/>
  <c r="H36" i="2"/>
  <c r="I58" i="3"/>
  <c r="D60" i="3" l="1"/>
  <c r="I37" i="2"/>
  <c r="J37" i="2" s="1"/>
  <c r="I40" i="2"/>
  <c r="J40" i="2" s="1"/>
  <c r="I39" i="2"/>
  <c r="J39" i="2" s="1"/>
  <c r="I36" i="2"/>
  <c r="J36" i="2" s="1"/>
  <c r="H41" i="2"/>
  <c r="I38" i="2"/>
  <c r="I59" i="3"/>
  <c r="D61" i="3" l="1"/>
  <c r="I41" i="2"/>
  <c r="J38" i="2"/>
  <c r="J41" i="2" s="1"/>
  <c r="I60" i="3"/>
  <c r="D62" i="3" l="1"/>
  <c r="I61" i="3"/>
  <c r="D63" i="3" l="1"/>
  <c r="I62" i="3"/>
  <c r="D64" i="3" l="1"/>
  <c r="I63" i="3"/>
  <c r="D65" i="3" l="1"/>
  <c r="I64" i="3"/>
  <c r="D69" i="3" l="1"/>
  <c r="I65" i="3"/>
  <c r="I66" i="3" s="1"/>
  <c r="D70" i="3" l="1"/>
  <c r="U51" i="19"/>
  <c r="V51" i="19" s="1"/>
  <c r="U50" i="19"/>
  <c r="V50" i="19" s="1"/>
  <c r="I69" i="3"/>
  <c r="D71" i="3" l="1"/>
  <c r="U52" i="19"/>
  <c r="V52" i="19" s="1"/>
  <c r="V53" i="19" s="1"/>
  <c r="I70" i="3"/>
  <c r="D72" i="3" l="1"/>
  <c r="Q66" i="3"/>
  <c r="S56" i="19"/>
  <c r="T56" i="19" s="1"/>
  <c r="I71" i="3"/>
  <c r="D73" i="3" l="1"/>
  <c r="R66" i="3"/>
  <c r="H44" i="2"/>
  <c r="I72" i="3"/>
  <c r="D74" i="3" l="1"/>
  <c r="H47" i="2"/>
  <c r="H48" i="2"/>
  <c r="H49" i="2"/>
  <c r="H46" i="2"/>
  <c r="H45" i="2"/>
  <c r="I73" i="3"/>
  <c r="D75" i="3" l="1"/>
  <c r="I45" i="2"/>
  <c r="H50" i="2"/>
  <c r="I47" i="2"/>
  <c r="J47" i="2" s="1"/>
  <c r="I46" i="2"/>
  <c r="J46" i="2" s="1"/>
  <c r="I49" i="2"/>
  <c r="J49" i="2" s="1"/>
  <c r="I48" i="2"/>
  <c r="J48" i="2" s="1"/>
  <c r="I74" i="3"/>
  <c r="D76" i="3" l="1"/>
  <c r="I50" i="2"/>
  <c r="J45" i="2"/>
  <c r="J50" i="2" s="1"/>
  <c r="I75" i="3"/>
  <c r="D77" i="3" l="1"/>
  <c r="I76" i="3"/>
  <c r="D78" i="3" l="1"/>
  <c r="I77" i="3"/>
  <c r="D79" i="3" l="1"/>
  <c r="I78" i="3"/>
  <c r="D80" i="3" l="1"/>
  <c r="I79" i="3"/>
  <c r="I80" i="3" l="1"/>
  <c r="I81" i="3" s="1"/>
  <c r="E39" i="18"/>
  <c r="C75" i="18" s="1"/>
  <c r="C8" i="8" s="1"/>
  <c r="B8" i="8" s="1"/>
  <c r="U66" i="19" l="1"/>
  <c r="V66" i="19" s="1"/>
  <c r="U65" i="19"/>
  <c r="V65" i="19" s="1"/>
  <c r="U67" i="19" l="1"/>
  <c r="V67" i="19" s="1"/>
  <c r="V68" i="19" s="1"/>
  <c r="Q81" i="3" l="1"/>
  <c r="S71" i="19"/>
  <c r="T71" i="19" s="1"/>
  <c r="D18" i="8"/>
  <c r="B6" i="8"/>
  <c r="B11" i="8" s="1"/>
  <c r="R81" i="3" l="1"/>
  <c r="H53" i="2"/>
  <c r="B38" i="12"/>
  <c r="H56" i="2" l="1"/>
  <c r="H57" i="2"/>
  <c r="H58" i="2"/>
  <c r="H55" i="2"/>
  <c r="H54" i="2"/>
  <c r="B12" i="14"/>
  <c r="B18" i="14"/>
  <c r="B41" i="12"/>
  <c r="B8" i="13" s="1"/>
  <c r="B39" i="12"/>
  <c r="I58" i="2" l="1"/>
  <c r="J58" i="2" s="1"/>
  <c r="I55" i="2"/>
  <c r="J55" i="2" s="1"/>
  <c r="I57" i="2"/>
  <c r="I54" i="2"/>
  <c r="J54" i="2" s="1"/>
  <c r="H59" i="2"/>
  <c r="I56" i="2"/>
  <c r="J56" i="2" s="1"/>
  <c r="B40" i="12"/>
  <c r="C39" i="12"/>
  <c r="B19" i="14"/>
  <c r="B23" i="14" s="1"/>
  <c r="B20" i="14"/>
  <c r="B6" i="14"/>
  <c r="I59" i="2" l="1"/>
  <c r="J57" i="2"/>
  <c r="J59" i="2" s="1"/>
  <c r="C19" i="14"/>
  <c r="C23" i="14" s="1"/>
  <c r="D39" i="12"/>
  <c r="C41" i="12"/>
  <c r="C8" i="13" s="1"/>
  <c r="B15" i="15"/>
  <c r="C40" i="12"/>
  <c r="C20" i="14" l="1"/>
  <c r="C6" i="14"/>
  <c r="D41" i="12"/>
  <c r="D8" i="13" s="1"/>
  <c r="C15" i="15"/>
  <c r="D40" i="12"/>
  <c r="D19" i="14"/>
  <c r="D23" i="14" s="1"/>
  <c r="E39" i="12"/>
  <c r="D15" i="15" l="1"/>
  <c r="E40" i="12"/>
  <c r="E41" i="12"/>
  <c r="E8" i="13" s="1"/>
  <c r="F39" i="12"/>
  <c r="F19" i="14" s="1"/>
  <c r="F23" i="14" s="1"/>
  <c r="E19" i="14"/>
  <c r="E23" i="14" s="1"/>
  <c r="D20" i="14"/>
  <c r="D6" i="14"/>
  <c r="E6" i="14" l="1"/>
  <c r="E20" i="14"/>
  <c r="E15" i="15"/>
  <c r="F41" i="12"/>
  <c r="F8" i="13" s="1"/>
  <c r="F40" i="12"/>
  <c r="F15" i="15" s="1"/>
  <c r="F20" i="14" l="1"/>
  <c r="F6" i="14"/>
  <c r="C78" i="18" l="1"/>
  <c r="C79" i="18" s="1"/>
  <c r="C80" i="18" l="1"/>
  <c r="B10" i="1" s="1"/>
  <c r="C13" i="8"/>
  <c r="M2" i="3"/>
  <c r="V3" i="3" s="1"/>
  <c r="B35" i="1"/>
  <c r="P6" i="3" s="1"/>
  <c r="B3" i="9"/>
  <c r="B4" i="5"/>
  <c r="B11" i="6" s="1"/>
  <c r="E76" i="18"/>
  <c r="B8" i="1" s="1"/>
  <c r="B2" i="5" s="1"/>
  <c r="B13" i="8" l="1"/>
  <c r="B15" i="8" s="1"/>
  <c r="C18" i="8"/>
  <c r="D37" i="4"/>
  <c r="W15" i="3"/>
  <c r="E35" i="4"/>
  <c r="B36" i="1"/>
  <c r="P22" i="3" s="1"/>
  <c r="N2" i="3"/>
  <c r="I35" i="4"/>
  <c r="B7" i="9"/>
  <c r="C7" i="9" s="1"/>
  <c r="D7" i="9" s="1"/>
  <c r="E7" i="9" s="1"/>
  <c r="F7" i="9" s="1"/>
  <c r="B4" i="9"/>
  <c r="M21" i="3"/>
  <c r="B3" i="4"/>
  <c r="B18" i="8" l="1"/>
  <c r="B22" i="14"/>
  <c r="B17" i="15" s="1"/>
  <c r="C17" i="15" s="1"/>
  <c r="D17" i="15" s="1"/>
  <c r="E17" i="15" s="1"/>
  <c r="F17" i="15" s="1"/>
  <c r="C19" i="8"/>
  <c r="B13" i="14"/>
  <c r="B16" i="14" s="1"/>
  <c r="B12" i="9"/>
  <c r="D12" i="4"/>
  <c r="C21" i="4" s="1"/>
  <c r="O2" i="3"/>
  <c r="B5" i="9"/>
  <c r="B8" i="9" s="1"/>
  <c r="B9" i="9" s="1"/>
  <c r="B7" i="15" s="1"/>
  <c r="B8" i="12"/>
  <c r="C4" i="9"/>
  <c r="D38" i="4"/>
  <c r="W31" i="3"/>
  <c r="B37" i="1"/>
  <c r="P37" i="3" s="1"/>
  <c r="B4" i="4"/>
  <c r="B9" i="6" s="1"/>
  <c r="E9" i="4"/>
  <c r="F26" i="4" s="1"/>
  <c r="D3" i="1"/>
  <c r="D6" i="1" s="1"/>
  <c r="B7" i="1" s="1"/>
  <c r="K9" i="3"/>
  <c r="K10" i="3" s="1"/>
  <c r="K11" i="3" s="1"/>
  <c r="K12" i="3" s="1"/>
  <c r="K13" i="3" s="1"/>
  <c r="K14" i="3" s="1"/>
  <c r="K15" i="3" s="1"/>
  <c r="K16" i="3" s="1"/>
  <c r="K17" i="3" s="1"/>
  <c r="B13" i="9" l="1"/>
  <c r="B16" i="9"/>
  <c r="D19" i="8"/>
  <c r="C3" i="16"/>
  <c r="C12" i="16" s="1"/>
  <c r="B19" i="8"/>
  <c r="K18" i="3"/>
  <c r="K19" i="3" s="1"/>
  <c r="K24" i="3" s="1"/>
  <c r="C8" i="12"/>
  <c r="C5" i="9"/>
  <c r="C8" i="9" s="1"/>
  <c r="C9" i="9" s="1"/>
  <c r="C7" i="15" s="1"/>
  <c r="D4" i="9"/>
  <c r="B38" i="1"/>
  <c r="P52" i="3" s="1"/>
  <c r="W46" i="3"/>
  <c r="D39" i="4"/>
  <c r="B4" i="14"/>
  <c r="E12" i="4"/>
  <c r="C22" i="4" s="1"/>
  <c r="K25" i="3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9" i="3" s="1"/>
  <c r="K20" i="3"/>
  <c r="M25" i="20" s="1"/>
  <c r="M23" i="20" s="1"/>
  <c r="C16" i="9" l="1"/>
  <c r="D16" i="9" s="1"/>
  <c r="E16" i="9" s="1"/>
  <c r="F16" i="9" s="1"/>
  <c r="B9" i="12"/>
  <c r="C13" i="9"/>
  <c r="B14" i="9"/>
  <c r="F32" i="20"/>
  <c r="H32" i="20"/>
  <c r="G32" i="20"/>
  <c r="O23" i="20"/>
  <c r="C4" i="14"/>
  <c r="D5" i="9"/>
  <c r="D8" i="9" s="1"/>
  <c r="D9" i="9" s="1"/>
  <c r="D7" i="15" s="1"/>
  <c r="D8" i="12"/>
  <c r="E4" i="9"/>
  <c r="B39" i="1"/>
  <c r="P67" i="3" s="1"/>
  <c r="D40" i="4"/>
  <c r="W61" i="3"/>
  <c r="E3" i="1"/>
  <c r="B4" i="10" s="1"/>
  <c r="E8" i="3"/>
  <c r="G8" i="3" s="1"/>
  <c r="K36" i="3"/>
  <c r="K40" i="3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4" i="3" s="1"/>
  <c r="B17" i="9" l="1"/>
  <c r="B18" i="9" s="1"/>
  <c r="B8" i="15" s="1"/>
  <c r="C14" i="9"/>
  <c r="C9" i="12"/>
  <c r="D13" i="9"/>
  <c r="B5" i="14"/>
  <c r="B12" i="12"/>
  <c r="B6" i="13" s="1"/>
  <c r="F4" i="9"/>
  <c r="E5" i="9"/>
  <c r="E8" i="9" s="1"/>
  <c r="E9" i="9" s="1"/>
  <c r="E7" i="15" s="1"/>
  <c r="E8" i="12"/>
  <c r="D4" i="14"/>
  <c r="D41" i="4"/>
  <c r="W76" i="3"/>
  <c r="B40" i="1"/>
  <c r="E12" i="3"/>
  <c r="E55" i="3"/>
  <c r="E29" i="3"/>
  <c r="E80" i="3"/>
  <c r="E16" i="3"/>
  <c r="E18" i="3"/>
  <c r="E57" i="3"/>
  <c r="E45" i="3"/>
  <c r="F8" i="3"/>
  <c r="E61" i="3"/>
  <c r="E9" i="3"/>
  <c r="G9" i="3" s="1"/>
  <c r="E27" i="3"/>
  <c r="E26" i="3"/>
  <c r="E46" i="3"/>
  <c r="E59" i="3"/>
  <c r="E75" i="3"/>
  <c r="E19" i="3"/>
  <c r="E50" i="3"/>
  <c r="E74" i="3"/>
  <c r="E17" i="3"/>
  <c r="E49" i="3"/>
  <c r="E35" i="3"/>
  <c r="E71" i="3"/>
  <c r="E64" i="3"/>
  <c r="E15" i="3"/>
  <c r="E13" i="3"/>
  <c r="E65" i="3"/>
  <c r="E70" i="3"/>
  <c r="E31" i="3"/>
  <c r="E56" i="3"/>
  <c r="E39" i="3"/>
  <c r="G39" i="3" s="1"/>
  <c r="E44" i="3"/>
  <c r="E11" i="3"/>
  <c r="E54" i="3"/>
  <c r="G54" i="3" s="1"/>
  <c r="E33" i="3"/>
  <c r="E62" i="3"/>
  <c r="E14" i="3"/>
  <c r="E10" i="3"/>
  <c r="E28" i="3"/>
  <c r="E48" i="3"/>
  <c r="E63" i="3"/>
  <c r="E77" i="3"/>
  <c r="E25" i="3"/>
  <c r="E58" i="3"/>
  <c r="E76" i="3"/>
  <c r="E30" i="3"/>
  <c r="E78" i="3"/>
  <c r="E42" i="3"/>
  <c r="E24" i="3"/>
  <c r="G24" i="3" s="1"/>
  <c r="E32" i="3"/>
  <c r="E34" i="3"/>
  <c r="E41" i="3"/>
  <c r="E79" i="3"/>
  <c r="E69" i="3"/>
  <c r="G69" i="3" s="1"/>
  <c r="E43" i="3"/>
  <c r="E40" i="3"/>
  <c r="E73" i="3"/>
  <c r="E47" i="3"/>
  <c r="E60" i="3"/>
  <c r="E72" i="3"/>
  <c r="B5" i="10"/>
  <c r="B6" i="10" s="1"/>
  <c r="K55" i="3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9" i="3" s="1"/>
  <c r="K51" i="3"/>
  <c r="B18" i="10" l="1"/>
  <c r="B3" i="11" s="1"/>
  <c r="E13" i="9"/>
  <c r="D9" i="12"/>
  <c r="C5" i="14"/>
  <c r="C12" i="12"/>
  <c r="C6" i="13" s="1"/>
  <c r="D14" i="9"/>
  <c r="C17" i="9"/>
  <c r="C18" i="9" s="1"/>
  <c r="C8" i="15" s="1"/>
  <c r="E4" i="14"/>
  <c r="F8" i="12"/>
  <c r="F5" i="9"/>
  <c r="F8" i="9" s="1"/>
  <c r="F9" i="9" s="1"/>
  <c r="F7" i="15" s="1"/>
  <c r="F72" i="3"/>
  <c r="G72" i="3"/>
  <c r="F40" i="3"/>
  <c r="G40" i="3"/>
  <c r="F41" i="3"/>
  <c r="G41" i="3"/>
  <c r="F42" i="3"/>
  <c r="G42" i="3"/>
  <c r="F58" i="3"/>
  <c r="G58" i="3"/>
  <c r="F48" i="3"/>
  <c r="G48" i="3"/>
  <c r="F62" i="3"/>
  <c r="G62" i="3"/>
  <c r="F44" i="3"/>
  <c r="G44" i="3"/>
  <c r="F70" i="3"/>
  <c r="G70" i="3"/>
  <c r="F64" i="3"/>
  <c r="G64" i="3"/>
  <c r="F17" i="3"/>
  <c r="G17" i="3"/>
  <c r="F75" i="3"/>
  <c r="G75" i="3"/>
  <c r="F27" i="3"/>
  <c r="G27" i="3"/>
  <c r="F45" i="3"/>
  <c r="G45" i="3"/>
  <c r="F80" i="3"/>
  <c r="G80" i="3"/>
  <c r="F60" i="3"/>
  <c r="G60" i="3"/>
  <c r="F43" i="3"/>
  <c r="G43" i="3"/>
  <c r="F34" i="3"/>
  <c r="G34" i="3"/>
  <c r="F78" i="3"/>
  <c r="G78" i="3"/>
  <c r="F25" i="3"/>
  <c r="G25" i="3"/>
  <c r="F28" i="3"/>
  <c r="G28" i="3"/>
  <c r="F33" i="3"/>
  <c r="G33" i="3"/>
  <c r="F65" i="3"/>
  <c r="G65" i="3"/>
  <c r="F71" i="3"/>
  <c r="G71" i="3"/>
  <c r="F74" i="3"/>
  <c r="G74" i="3"/>
  <c r="F59" i="3"/>
  <c r="G59" i="3"/>
  <c r="F57" i="3"/>
  <c r="G57" i="3"/>
  <c r="F29" i="3"/>
  <c r="G29" i="3"/>
  <c r="F47" i="3"/>
  <c r="G47" i="3"/>
  <c r="F32" i="3"/>
  <c r="G32" i="3"/>
  <c r="F30" i="3"/>
  <c r="G30" i="3"/>
  <c r="F77" i="3"/>
  <c r="G77" i="3"/>
  <c r="F10" i="3"/>
  <c r="G10" i="3"/>
  <c r="F56" i="3"/>
  <c r="G56" i="3"/>
  <c r="F13" i="3"/>
  <c r="G13" i="3"/>
  <c r="F35" i="3"/>
  <c r="G35" i="3"/>
  <c r="F50" i="3"/>
  <c r="G50" i="3"/>
  <c r="F46" i="3"/>
  <c r="G46" i="3"/>
  <c r="F61" i="3"/>
  <c r="G61" i="3"/>
  <c r="F18" i="3"/>
  <c r="G18" i="3"/>
  <c r="F55" i="3"/>
  <c r="G55" i="3"/>
  <c r="F73" i="3"/>
  <c r="G73" i="3"/>
  <c r="F79" i="3"/>
  <c r="G79" i="3"/>
  <c r="F76" i="3"/>
  <c r="G76" i="3"/>
  <c r="F63" i="3"/>
  <c r="G63" i="3"/>
  <c r="H63" i="3" s="1"/>
  <c r="F14" i="3"/>
  <c r="G14" i="3"/>
  <c r="F11" i="3"/>
  <c r="G11" i="3"/>
  <c r="F31" i="3"/>
  <c r="G31" i="3"/>
  <c r="F15" i="3"/>
  <c r="G15" i="3"/>
  <c r="H15" i="3" s="1"/>
  <c r="F49" i="3"/>
  <c r="G49" i="3"/>
  <c r="F19" i="3"/>
  <c r="G19" i="3"/>
  <c r="H19" i="3" s="1"/>
  <c r="F26" i="3"/>
  <c r="G26" i="3"/>
  <c r="F16" i="3"/>
  <c r="G16" i="3"/>
  <c r="F12" i="3"/>
  <c r="G12" i="3"/>
  <c r="F69" i="3"/>
  <c r="S69" i="3"/>
  <c r="S70" i="3" s="1"/>
  <c r="E81" i="3"/>
  <c r="AA47" i="3" s="1"/>
  <c r="S54" i="3"/>
  <c r="S55" i="3" s="1"/>
  <c r="E66" i="3"/>
  <c r="AA46" i="3" s="1"/>
  <c r="F54" i="3"/>
  <c r="B9" i="11"/>
  <c r="B10" i="11" s="1"/>
  <c r="B20" i="11"/>
  <c r="B21" i="11" s="1"/>
  <c r="B22" i="11" s="1"/>
  <c r="B23" i="11" s="1"/>
  <c r="B20" i="12" s="1"/>
  <c r="B15" i="12"/>
  <c r="H30" i="3"/>
  <c r="E51" i="3"/>
  <c r="AA45" i="3" s="1"/>
  <c r="S39" i="3"/>
  <c r="S40" i="3" s="1"/>
  <c r="F39" i="3"/>
  <c r="H65" i="3"/>
  <c r="F9" i="3"/>
  <c r="S8" i="3"/>
  <c r="S9" i="3" s="1"/>
  <c r="E20" i="3"/>
  <c r="AA43" i="3" s="1"/>
  <c r="S24" i="3"/>
  <c r="S25" i="3" s="1"/>
  <c r="F24" i="3"/>
  <c r="E36" i="3"/>
  <c r="AA44" i="3" s="1"/>
  <c r="AC43" i="3" s="1"/>
  <c r="H8" i="3"/>
  <c r="K70" i="3"/>
  <c r="K66" i="3"/>
  <c r="AC44" i="3" l="1"/>
  <c r="AC45" i="3"/>
  <c r="AC46" i="3"/>
  <c r="D17" i="9"/>
  <c r="D18" i="9" s="1"/>
  <c r="D8" i="15" s="1"/>
  <c r="E14" i="9"/>
  <c r="D5" i="14"/>
  <c r="D12" i="12"/>
  <c r="D6" i="13" s="1"/>
  <c r="E9" i="12"/>
  <c r="F13" i="9"/>
  <c r="F9" i="12" s="1"/>
  <c r="F5" i="14" s="1"/>
  <c r="H46" i="3"/>
  <c r="P46" i="3" s="1"/>
  <c r="H32" i="3"/>
  <c r="H29" i="3"/>
  <c r="N29" i="3" s="1"/>
  <c r="H59" i="3"/>
  <c r="H33" i="3"/>
  <c r="P33" i="3" s="1"/>
  <c r="H60" i="3"/>
  <c r="N60" i="3" s="1"/>
  <c r="H45" i="3"/>
  <c r="N45" i="3" s="1"/>
  <c r="H75" i="3"/>
  <c r="H64" i="3"/>
  <c r="H44" i="3"/>
  <c r="P44" i="3" s="1"/>
  <c r="H48" i="3"/>
  <c r="N48" i="3" s="1"/>
  <c r="F4" i="14"/>
  <c r="F12" i="12"/>
  <c r="F6" i="13" s="1"/>
  <c r="H11" i="3"/>
  <c r="P11" i="3" s="1"/>
  <c r="G66" i="3"/>
  <c r="U55" i="3" s="1"/>
  <c r="V55" i="3" s="1"/>
  <c r="F21" i="3"/>
  <c r="B3" i="6" s="1"/>
  <c r="H73" i="3"/>
  <c r="H18" i="3"/>
  <c r="N18" i="3" s="1"/>
  <c r="H56" i="3"/>
  <c r="P56" i="3" s="1"/>
  <c r="H34" i="3"/>
  <c r="P34" i="3" s="1"/>
  <c r="H42" i="3"/>
  <c r="N42" i="3" s="1"/>
  <c r="R40" i="3"/>
  <c r="H49" i="3"/>
  <c r="P49" i="3" s="1"/>
  <c r="H14" i="3"/>
  <c r="P14" i="3" s="1"/>
  <c r="H35" i="3"/>
  <c r="P35" i="3" s="1"/>
  <c r="R9" i="3"/>
  <c r="H12" i="3"/>
  <c r="P12" i="3" s="1"/>
  <c r="H26" i="3"/>
  <c r="N26" i="3" s="1"/>
  <c r="H31" i="3"/>
  <c r="N31" i="3" s="1"/>
  <c r="H76" i="3"/>
  <c r="H77" i="3"/>
  <c r="H71" i="3"/>
  <c r="F20" i="3"/>
  <c r="AA25" i="3" s="1"/>
  <c r="H16" i="3"/>
  <c r="P16" i="3" s="1"/>
  <c r="H79" i="3"/>
  <c r="H55" i="3"/>
  <c r="P55" i="3" s="1"/>
  <c r="H61" i="3"/>
  <c r="P61" i="3" s="1"/>
  <c r="H50" i="3"/>
  <c r="P50" i="3" s="1"/>
  <c r="H13" i="3"/>
  <c r="P13" i="3" s="1"/>
  <c r="H10" i="3"/>
  <c r="N10" i="3" s="1"/>
  <c r="H47" i="3"/>
  <c r="P47" i="3" s="1"/>
  <c r="H57" i="3"/>
  <c r="P57" i="3" s="1"/>
  <c r="H74" i="3"/>
  <c r="H28" i="3"/>
  <c r="P28" i="3" s="1"/>
  <c r="H78" i="3"/>
  <c r="H43" i="3"/>
  <c r="P43" i="3" s="1"/>
  <c r="H80" i="3"/>
  <c r="H27" i="3"/>
  <c r="N27" i="3" s="1"/>
  <c r="H17" i="3"/>
  <c r="P17" i="3" s="1"/>
  <c r="H70" i="3"/>
  <c r="N70" i="3" s="1"/>
  <c r="H62" i="3"/>
  <c r="N62" i="3" s="1"/>
  <c r="H58" i="3"/>
  <c r="P58" i="3" s="1"/>
  <c r="H41" i="3"/>
  <c r="P41" i="3" s="1"/>
  <c r="H72" i="3"/>
  <c r="G21" i="3"/>
  <c r="B4" i="6" s="1"/>
  <c r="G36" i="3"/>
  <c r="U25" i="3" s="1"/>
  <c r="V25" i="3" s="1"/>
  <c r="AB3" i="3" s="1"/>
  <c r="R25" i="3"/>
  <c r="R28" i="3" s="1"/>
  <c r="R43" i="3"/>
  <c r="H25" i="3"/>
  <c r="P25" i="3" s="1"/>
  <c r="H40" i="3"/>
  <c r="P40" i="3" s="1"/>
  <c r="G51" i="3"/>
  <c r="U40" i="3" s="1"/>
  <c r="V40" i="3" s="1"/>
  <c r="AC3" i="3" s="1"/>
  <c r="R12" i="3"/>
  <c r="B5" i="11" s="1"/>
  <c r="B11" i="11" s="1"/>
  <c r="B12" i="11" s="1"/>
  <c r="B13" i="11" s="1"/>
  <c r="B29" i="13" s="1"/>
  <c r="R55" i="3"/>
  <c r="R58" i="3" s="1"/>
  <c r="G20" i="3"/>
  <c r="R70" i="3"/>
  <c r="R73" i="3" s="1"/>
  <c r="G81" i="3"/>
  <c r="U70" i="3" s="1"/>
  <c r="V70" i="3" s="1"/>
  <c r="N8" i="3"/>
  <c r="P8" i="3"/>
  <c r="N19" i="3"/>
  <c r="P19" i="3"/>
  <c r="N15" i="3"/>
  <c r="P15" i="3"/>
  <c r="N11" i="3"/>
  <c r="N63" i="3"/>
  <c r="P63" i="3"/>
  <c r="H24" i="3"/>
  <c r="F36" i="3"/>
  <c r="AA26" i="3" s="1"/>
  <c r="AC25" i="3" s="1"/>
  <c r="P64" i="3"/>
  <c r="N64" i="3"/>
  <c r="H54" i="3"/>
  <c r="F66" i="3"/>
  <c r="AA28" i="3" s="1"/>
  <c r="N35" i="3"/>
  <c r="H9" i="3"/>
  <c r="N65" i="3"/>
  <c r="P65" i="3"/>
  <c r="N46" i="3"/>
  <c r="N59" i="3"/>
  <c r="P59" i="3"/>
  <c r="F51" i="3"/>
  <c r="AA27" i="3" s="1"/>
  <c r="AC26" i="3" s="1"/>
  <c r="H39" i="3"/>
  <c r="N33" i="3"/>
  <c r="N5" i="3"/>
  <c r="P5" i="3" s="1"/>
  <c r="P32" i="3"/>
  <c r="N32" i="3"/>
  <c r="N30" i="3"/>
  <c r="P30" i="3"/>
  <c r="B3" i="13"/>
  <c r="B18" i="12"/>
  <c r="B21" i="12" s="1"/>
  <c r="N50" i="3"/>
  <c r="H69" i="3"/>
  <c r="F81" i="3"/>
  <c r="AA29" i="3" s="1"/>
  <c r="AC28" i="3" s="1"/>
  <c r="K71" i="3"/>
  <c r="P70" i="3"/>
  <c r="B30" i="13" l="1"/>
  <c r="B9" i="14" s="1"/>
  <c r="B5" i="15"/>
  <c r="E5" i="14"/>
  <c r="E12" i="12"/>
  <c r="E6" i="13" s="1"/>
  <c r="F14" i="9"/>
  <c r="F17" i="9" s="1"/>
  <c r="F18" i="9" s="1"/>
  <c r="F8" i="15" s="1"/>
  <c r="E17" i="9"/>
  <c r="E18" i="9" s="1"/>
  <c r="E8" i="15" s="1"/>
  <c r="AC49" i="3"/>
  <c r="B8" i="10" s="1"/>
  <c r="C4" i="10" s="1"/>
  <c r="P45" i="3"/>
  <c r="P60" i="3"/>
  <c r="N57" i="3"/>
  <c r="N44" i="3"/>
  <c r="P18" i="3"/>
  <c r="N25" i="3"/>
  <c r="N16" i="3"/>
  <c r="P29" i="3"/>
  <c r="N43" i="3"/>
  <c r="AC27" i="3"/>
  <c r="P48" i="3"/>
  <c r="U9" i="3"/>
  <c r="W55" i="3"/>
  <c r="V58" i="3" s="1"/>
  <c r="V61" i="3"/>
  <c r="AA36" i="3" s="1"/>
  <c r="W40" i="3"/>
  <c r="V43" i="3" s="1"/>
  <c r="V46" i="3"/>
  <c r="AA35" i="3" s="1"/>
  <c r="W70" i="3"/>
  <c r="V73" i="3" s="1"/>
  <c r="V76" i="3"/>
  <c r="AA37" i="3" s="1"/>
  <c r="W25" i="3"/>
  <c r="V28" i="3" s="1"/>
  <c r="V31" i="3"/>
  <c r="AA34" i="3" s="1"/>
  <c r="N17" i="3"/>
  <c r="P42" i="3"/>
  <c r="N41" i="3"/>
  <c r="N14" i="3"/>
  <c r="O8" i="3"/>
  <c r="N13" i="3"/>
  <c r="N12" i="3"/>
  <c r="N34" i="3"/>
  <c r="P62" i="3"/>
  <c r="N56" i="3"/>
  <c r="N49" i="3"/>
  <c r="N58" i="3"/>
  <c r="P10" i="3"/>
  <c r="P27" i="3"/>
  <c r="P31" i="3"/>
  <c r="N28" i="3"/>
  <c r="N61" i="3"/>
  <c r="N55" i="3"/>
  <c r="H21" i="3"/>
  <c r="B5" i="6" s="1"/>
  <c r="P26" i="3"/>
  <c r="N47" i="3"/>
  <c r="N40" i="3"/>
  <c r="H20" i="3"/>
  <c r="F4" i="3" s="1"/>
  <c r="P54" i="3"/>
  <c r="H66" i="3"/>
  <c r="N54" i="3"/>
  <c r="H36" i="3"/>
  <c r="P24" i="3"/>
  <c r="N24" i="3"/>
  <c r="D14" i="4" s="1"/>
  <c r="B4" i="13"/>
  <c r="B5" i="13" s="1"/>
  <c r="B7" i="13" s="1"/>
  <c r="B29" i="12"/>
  <c r="B30" i="12" s="1"/>
  <c r="B31" i="12" s="1"/>
  <c r="B32" i="12" s="1"/>
  <c r="B33" i="12" s="1"/>
  <c r="P39" i="3"/>
  <c r="O51" i="3" s="1"/>
  <c r="P51" i="3" s="1"/>
  <c r="N39" i="3"/>
  <c r="H51" i="3"/>
  <c r="N69" i="3"/>
  <c r="H81" i="3"/>
  <c r="P69" i="3"/>
  <c r="B9" i="17"/>
  <c r="P9" i="3"/>
  <c r="N9" i="3"/>
  <c r="K72" i="3"/>
  <c r="P71" i="3"/>
  <c r="N71" i="3"/>
  <c r="H29" i="20" l="1"/>
  <c r="L24" i="20" s="1"/>
  <c r="L23" i="20" s="1"/>
  <c r="L19" i="20" s="1"/>
  <c r="H4" i="3"/>
  <c r="G29" i="20"/>
  <c r="K24" i="20" s="1"/>
  <c r="K23" i="20" s="1"/>
  <c r="K19" i="20" s="1"/>
  <c r="G4" i="3"/>
  <c r="D4" i="10"/>
  <c r="C5" i="10"/>
  <c r="C6" i="10" s="1"/>
  <c r="C18" i="10" s="1"/>
  <c r="C3" i="11" s="1"/>
  <c r="O20" i="3"/>
  <c r="P20" i="3" s="1"/>
  <c r="D16" i="4"/>
  <c r="G21" i="4" s="1"/>
  <c r="D13" i="4"/>
  <c r="E13" i="4" s="1"/>
  <c r="F29" i="20"/>
  <c r="J24" i="20" s="1"/>
  <c r="J23" i="20" s="1"/>
  <c r="J19" i="20" s="1"/>
  <c r="D15" i="4"/>
  <c r="O36" i="3"/>
  <c r="P36" i="3" s="1"/>
  <c r="O66" i="3"/>
  <c r="P66" i="3" s="1"/>
  <c r="H35" i="20"/>
  <c r="H47" i="20" s="1"/>
  <c r="D34" i="20"/>
  <c r="D36" i="20" s="1"/>
  <c r="D39" i="20" s="1"/>
  <c r="L38" i="20"/>
  <c r="G35" i="20"/>
  <c r="G47" i="20" s="1"/>
  <c r="C34" i="20"/>
  <c r="C36" i="20" s="1"/>
  <c r="C39" i="20" s="1"/>
  <c r="K38" i="20"/>
  <c r="AB19" i="3"/>
  <c r="AC21" i="3" s="1"/>
  <c r="U3" i="3"/>
  <c r="X3" i="3" s="1"/>
  <c r="V9" i="3"/>
  <c r="AA3" i="3" s="1"/>
  <c r="F38" i="4"/>
  <c r="F39" i="4"/>
  <c r="V47" i="3"/>
  <c r="F40" i="4"/>
  <c r="F41" i="4"/>
  <c r="N21" i="3"/>
  <c r="B7" i="6" s="1"/>
  <c r="E21" i="4"/>
  <c r="F21" i="4"/>
  <c r="B18" i="17"/>
  <c r="B9" i="13"/>
  <c r="B13" i="17"/>
  <c r="O9" i="3"/>
  <c r="O10" i="3" s="1"/>
  <c r="O11" i="3" s="1"/>
  <c r="O12" i="3" s="1"/>
  <c r="O13" i="3" s="1"/>
  <c r="O14" i="3" s="1"/>
  <c r="O15" i="3" s="1"/>
  <c r="O16" i="3" s="1"/>
  <c r="O17" i="3" s="1"/>
  <c r="O18" i="3" s="1"/>
  <c r="O19" i="3" s="1"/>
  <c r="O24" i="3" s="1"/>
  <c r="B7" i="17"/>
  <c r="B8" i="17" s="1"/>
  <c r="B17" i="17"/>
  <c r="K73" i="3"/>
  <c r="P72" i="3"/>
  <c r="N72" i="3"/>
  <c r="B10" i="13" l="1"/>
  <c r="B11" i="13" s="1"/>
  <c r="B20" i="13" s="1"/>
  <c r="V5" i="3"/>
  <c r="W5" i="3" s="1"/>
  <c r="AA14" i="3" s="1"/>
  <c r="AC14" i="3" s="1"/>
  <c r="AD14" i="3" s="1"/>
  <c r="C9" i="11"/>
  <c r="C10" i="11" s="1"/>
  <c r="C11" i="11" s="1"/>
  <c r="C12" i="11" s="1"/>
  <c r="C13" i="11" s="1"/>
  <c r="C29" i="13" s="1"/>
  <c r="C15" i="12"/>
  <c r="C20" i="11"/>
  <c r="C21" i="11" s="1"/>
  <c r="C22" i="11" s="1"/>
  <c r="C23" i="11" s="1"/>
  <c r="C20" i="12" s="1"/>
  <c r="E4" i="10"/>
  <c r="D5" i="10"/>
  <c r="D6" i="10" s="1"/>
  <c r="D18" i="10" s="1"/>
  <c r="D3" i="11" s="1"/>
  <c r="D21" i="4"/>
  <c r="E14" i="4"/>
  <c r="F15" i="4" s="1"/>
  <c r="J38" i="20"/>
  <c r="B34" i="20"/>
  <c r="B36" i="20" s="1"/>
  <c r="B39" i="20" s="1"/>
  <c r="F35" i="20"/>
  <c r="F47" i="20" s="1"/>
  <c r="V15" i="3"/>
  <c r="F37" i="4" s="1"/>
  <c r="W9" i="3"/>
  <c r="V12" i="3" s="1"/>
  <c r="S66" i="3"/>
  <c r="C40" i="4"/>
  <c r="E40" i="4" s="1"/>
  <c r="A29" i="4" s="1"/>
  <c r="V60" i="3"/>
  <c r="S36" i="3"/>
  <c r="C38" i="4"/>
  <c r="E38" i="4" s="1"/>
  <c r="V30" i="3"/>
  <c r="S20" i="3"/>
  <c r="C37" i="4"/>
  <c r="E37" i="4" s="1"/>
  <c r="V14" i="3"/>
  <c r="C39" i="4"/>
  <c r="E39" i="4" s="1"/>
  <c r="V45" i="3"/>
  <c r="V62" i="3"/>
  <c r="V32" i="3"/>
  <c r="S51" i="3"/>
  <c r="D22" i="4"/>
  <c r="I41" i="4"/>
  <c r="I39" i="4"/>
  <c r="I40" i="4"/>
  <c r="I38" i="4"/>
  <c r="E15" i="4"/>
  <c r="F22" i="4" s="1"/>
  <c r="E16" i="4"/>
  <c r="G22" i="4" s="1"/>
  <c r="O25" i="3"/>
  <c r="O26" i="3" s="1"/>
  <c r="O27" i="3" s="1"/>
  <c r="O28" i="3" s="1"/>
  <c r="O29" i="3" s="1"/>
  <c r="O30" i="3" s="1"/>
  <c r="O31" i="3" s="1"/>
  <c r="O32" i="3" s="1"/>
  <c r="O33" i="3" s="1"/>
  <c r="O34" i="3" s="1"/>
  <c r="O35" i="3" s="1"/>
  <c r="O39" i="3" s="1"/>
  <c r="O40" i="3" s="1"/>
  <c r="O41" i="3" s="1"/>
  <c r="O42" i="3" s="1"/>
  <c r="O43" i="3" s="1"/>
  <c r="O44" i="3" s="1"/>
  <c r="O45" i="3" s="1"/>
  <c r="O46" i="3" s="1"/>
  <c r="O47" i="3" s="1"/>
  <c r="O48" i="3" s="1"/>
  <c r="O49" i="3" s="1"/>
  <c r="O50" i="3" s="1"/>
  <c r="O54" i="3" s="1"/>
  <c r="O55" i="3" s="1"/>
  <c r="O56" i="3" s="1"/>
  <c r="O57" i="3" s="1"/>
  <c r="O58" i="3" s="1"/>
  <c r="O59" i="3" s="1"/>
  <c r="O60" i="3" s="1"/>
  <c r="O61" i="3" s="1"/>
  <c r="O62" i="3" s="1"/>
  <c r="O63" i="3" s="1"/>
  <c r="O64" i="3" s="1"/>
  <c r="O65" i="3" s="1"/>
  <c r="O69" i="3" s="1"/>
  <c r="O70" i="3" s="1"/>
  <c r="O71" i="3" s="1"/>
  <c r="O72" i="3" s="1"/>
  <c r="B25" i="13"/>
  <c r="B26" i="13" s="1"/>
  <c r="B7" i="14" s="1"/>
  <c r="B12" i="15"/>
  <c r="B19" i="17"/>
  <c r="B3" i="14"/>
  <c r="B21" i="13"/>
  <c r="B22" i="13" s="1"/>
  <c r="K74" i="3"/>
  <c r="N73" i="3"/>
  <c r="P73" i="3"/>
  <c r="D20" i="11" l="1"/>
  <c r="D21" i="11" s="1"/>
  <c r="D22" i="11" s="1"/>
  <c r="D23" i="11" s="1"/>
  <c r="D20" i="12" s="1"/>
  <c r="D15" i="12"/>
  <c r="D9" i="11"/>
  <c r="D10" i="11" s="1"/>
  <c r="D11" i="11" s="1"/>
  <c r="D12" i="11" s="1"/>
  <c r="D13" i="11" s="1"/>
  <c r="D29" i="13" s="1"/>
  <c r="E5" i="10"/>
  <c r="E6" i="10" s="1"/>
  <c r="E18" i="10" s="1"/>
  <c r="E3" i="11" s="1"/>
  <c r="F4" i="10"/>
  <c r="F5" i="10" s="1"/>
  <c r="F6" i="10" s="1"/>
  <c r="F18" i="10" s="1"/>
  <c r="F3" i="11" s="1"/>
  <c r="C18" i="12"/>
  <c r="C21" i="12" s="1"/>
  <c r="C4" i="13" s="1"/>
  <c r="C3" i="13"/>
  <c r="C29" i="12"/>
  <c r="C30" i="12" s="1"/>
  <c r="C31" i="12" s="1"/>
  <c r="C32" i="12" s="1"/>
  <c r="C33" i="12" s="1"/>
  <c r="C30" i="13"/>
  <c r="C9" i="14" s="1"/>
  <c r="C5" i="15"/>
  <c r="V16" i="3"/>
  <c r="C27" i="4"/>
  <c r="I37" i="4"/>
  <c r="AA33" i="3"/>
  <c r="A28" i="4"/>
  <c r="E47" i="4"/>
  <c r="C26" i="4"/>
  <c r="E45" i="4"/>
  <c r="A27" i="4"/>
  <c r="E46" i="4"/>
  <c r="C28" i="4"/>
  <c r="C29" i="4"/>
  <c r="A26" i="4"/>
  <c r="E22" i="4"/>
  <c r="G15" i="4"/>
  <c r="G16" i="4" s="1"/>
  <c r="O73" i="3"/>
  <c r="B18" i="15"/>
  <c r="B19" i="15" s="1"/>
  <c r="B16" i="17" s="1"/>
  <c r="C19" i="13"/>
  <c r="K75" i="3"/>
  <c r="N74" i="3"/>
  <c r="P74" i="3"/>
  <c r="B13" i="15"/>
  <c r="B14" i="15" s="1"/>
  <c r="B16" i="15" s="1"/>
  <c r="B33" i="13"/>
  <c r="B34" i="13" s="1"/>
  <c r="B8" i="14" s="1"/>
  <c r="B10" i="14" s="1"/>
  <c r="B24" i="14" s="1"/>
  <c r="B21" i="14"/>
  <c r="C9" i="17" l="1"/>
  <c r="C5" i="13"/>
  <c r="C7" i="13" s="1"/>
  <c r="C7" i="17"/>
  <c r="C8" i="17" s="1"/>
  <c r="C17" i="17"/>
  <c r="F15" i="12"/>
  <c r="F20" i="11"/>
  <c r="F21" i="11" s="1"/>
  <c r="F22" i="11" s="1"/>
  <c r="F23" i="11" s="1"/>
  <c r="F20" i="12" s="1"/>
  <c r="F9" i="11"/>
  <c r="F10" i="11" s="1"/>
  <c r="F11" i="11" s="1"/>
  <c r="F12" i="11" s="1"/>
  <c r="F13" i="11" s="1"/>
  <c r="F29" i="13" s="1"/>
  <c r="E20" i="11"/>
  <c r="E21" i="11" s="1"/>
  <c r="E22" i="11" s="1"/>
  <c r="E23" i="11" s="1"/>
  <c r="E20" i="12" s="1"/>
  <c r="E9" i="11"/>
  <c r="E10" i="11" s="1"/>
  <c r="E11" i="11" s="1"/>
  <c r="E12" i="11" s="1"/>
  <c r="E13" i="11" s="1"/>
  <c r="E29" i="13" s="1"/>
  <c r="E15" i="12"/>
  <c r="D5" i="15"/>
  <c r="D30" i="13"/>
  <c r="D9" i="14" s="1"/>
  <c r="D18" i="12"/>
  <c r="D21" i="12" s="1"/>
  <c r="D4" i="13" s="1"/>
  <c r="D3" i="13"/>
  <c r="D29" i="12"/>
  <c r="D30" i="12" s="1"/>
  <c r="D31" i="12" s="1"/>
  <c r="D32" i="12" s="1"/>
  <c r="D33" i="12" s="1"/>
  <c r="C4" i="16"/>
  <c r="B26" i="14"/>
  <c r="B4" i="15" s="1"/>
  <c r="B6" i="15" s="1"/>
  <c r="B4" i="17" s="1"/>
  <c r="B12" i="17"/>
  <c r="B20" i="15"/>
  <c r="F27" i="4"/>
  <c r="H28" i="4"/>
  <c r="K28" i="4" s="1"/>
  <c r="L28" i="4" s="1"/>
  <c r="O74" i="3"/>
  <c r="K76" i="3"/>
  <c r="P75" i="3"/>
  <c r="N75" i="3"/>
  <c r="D5" i="13" l="1"/>
  <c r="D7" i="13" s="1"/>
  <c r="D9" i="17"/>
  <c r="D7" i="17"/>
  <c r="D8" i="17" s="1"/>
  <c r="D17" i="17"/>
  <c r="E3" i="13"/>
  <c r="E9" i="17" s="1"/>
  <c r="E18" i="12"/>
  <c r="E21" i="12" s="1"/>
  <c r="E4" i="13" s="1"/>
  <c r="E29" i="12"/>
  <c r="E30" i="12" s="1"/>
  <c r="E31" i="12" s="1"/>
  <c r="E32" i="12" s="1"/>
  <c r="E33" i="12" s="1"/>
  <c r="E5" i="15"/>
  <c r="E30" i="13"/>
  <c r="E9" i="14" s="1"/>
  <c r="F30" i="13"/>
  <c r="F9" i="14" s="1"/>
  <c r="F5" i="15"/>
  <c r="F18" i="12"/>
  <c r="F21" i="12" s="1"/>
  <c r="F4" i="13" s="1"/>
  <c r="F3" i="13"/>
  <c r="F29" i="12"/>
  <c r="F30" i="12" s="1"/>
  <c r="F31" i="12" s="1"/>
  <c r="F32" i="12" s="1"/>
  <c r="F33" i="12" s="1"/>
  <c r="C18" i="17"/>
  <c r="C9" i="13"/>
  <c r="C10" i="13" s="1"/>
  <c r="C13" i="17"/>
  <c r="C11" i="16"/>
  <c r="C13" i="16" s="1"/>
  <c r="B21" i="17" s="1"/>
  <c r="C14" i="16"/>
  <c r="B22" i="17" s="1"/>
  <c r="B5" i="17"/>
  <c r="B10" i="15"/>
  <c r="B15" i="17" s="1"/>
  <c r="C25" i="14"/>
  <c r="H31" i="4"/>
  <c r="M28" i="4" s="1"/>
  <c r="O75" i="3"/>
  <c r="K77" i="3"/>
  <c r="N76" i="3"/>
  <c r="P76" i="3"/>
  <c r="C11" i="13" l="1"/>
  <c r="C25" i="13"/>
  <c r="C26" i="13" s="1"/>
  <c r="C7" i="14" s="1"/>
  <c r="C12" i="15"/>
  <c r="C14" i="15" s="1"/>
  <c r="C16" i="15" s="1"/>
  <c r="F5" i="13"/>
  <c r="F7" i="13" s="1"/>
  <c r="F17" i="17"/>
  <c r="F7" i="17"/>
  <c r="F8" i="17" s="1"/>
  <c r="E5" i="13"/>
  <c r="E7" i="13" s="1"/>
  <c r="E17" i="17"/>
  <c r="E7" i="17"/>
  <c r="E8" i="17" s="1"/>
  <c r="D18" i="17"/>
  <c r="D9" i="13"/>
  <c r="D13" i="17"/>
  <c r="B10" i="17"/>
  <c r="B21" i="15"/>
  <c r="O76" i="3"/>
  <c r="K78" i="3"/>
  <c r="N77" i="3"/>
  <c r="P77" i="3"/>
  <c r="D10" i="13" l="1"/>
  <c r="D11" i="13"/>
  <c r="E9" i="13"/>
  <c r="E18" i="17"/>
  <c r="E13" i="17"/>
  <c r="F9" i="13"/>
  <c r="F18" i="17"/>
  <c r="F13" i="17"/>
  <c r="C20" i="13"/>
  <c r="C19" i="17"/>
  <c r="C3" i="14"/>
  <c r="C10" i="14" s="1"/>
  <c r="C24" i="14" s="1"/>
  <c r="O77" i="3"/>
  <c r="K79" i="3"/>
  <c r="P78" i="3"/>
  <c r="N78" i="3"/>
  <c r="C5" i="16" l="1"/>
  <c r="C26" i="14"/>
  <c r="C21" i="13"/>
  <c r="C22" i="13"/>
  <c r="F10" i="13"/>
  <c r="F11" i="13"/>
  <c r="E10" i="13"/>
  <c r="E11" i="13"/>
  <c r="D20" i="13"/>
  <c r="D21" i="13" s="1"/>
  <c r="D3" i="14"/>
  <c r="D10" i="14" s="1"/>
  <c r="D24" i="14" s="1"/>
  <c r="C6" i="16" s="1"/>
  <c r="D19" i="17"/>
  <c r="D12" i="15"/>
  <c r="D14" i="15" s="1"/>
  <c r="D16" i="15" s="1"/>
  <c r="D25" i="13"/>
  <c r="D26" i="13" s="1"/>
  <c r="D7" i="14" s="1"/>
  <c r="O78" i="3"/>
  <c r="K80" i="3"/>
  <c r="P79" i="3"/>
  <c r="N79" i="3"/>
  <c r="D13" i="15" l="1"/>
  <c r="D33" i="13"/>
  <c r="D21" i="14"/>
  <c r="E19" i="17"/>
  <c r="E20" i="13"/>
  <c r="E21" i="13" s="1"/>
  <c r="E3" i="14"/>
  <c r="E10" i="14" s="1"/>
  <c r="E24" i="14" s="1"/>
  <c r="E25" i="13"/>
  <c r="E26" i="13" s="1"/>
  <c r="E7" i="14" s="1"/>
  <c r="E12" i="15"/>
  <c r="E14" i="15" s="1"/>
  <c r="E16" i="15" s="1"/>
  <c r="F20" i="13"/>
  <c r="F21" i="13" s="1"/>
  <c r="F3" i="14"/>
  <c r="F10" i="14" s="1"/>
  <c r="F24" i="14" s="1"/>
  <c r="C8" i="16" s="1"/>
  <c r="F19" i="17"/>
  <c r="F12" i="15"/>
  <c r="F14" i="15" s="1"/>
  <c r="F16" i="15" s="1"/>
  <c r="F25" i="13"/>
  <c r="F26" i="13" s="1"/>
  <c r="F7" i="14" s="1"/>
  <c r="C18" i="15"/>
  <c r="C19" i="15" s="1"/>
  <c r="D19" i="13"/>
  <c r="D22" i="13" s="1"/>
  <c r="C33" i="13"/>
  <c r="C34" i="13" s="1"/>
  <c r="C8" i="14" s="1"/>
  <c r="C21" i="14"/>
  <c r="C13" i="15"/>
  <c r="D25" i="14"/>
  <c r="D26" i="14" s="1"/>
  <c r="C4" i="15"/>
  <c r="C6" i="15" s="1"/>
  <c r="O79" i="3"/>
  <c r="N80" i="3"/>
  <c r="D17" i="4" s="1"/>
  <c r="F29" i="4" s="1"/>
  <c r="P80" i="3"/>
  <c r="O81" i="3" s="1"/>
  <c r="P81" i="3" s="1"/>
  <c r="K81" i="3"/>
  <c r="C5" i="17" l="1"/>
  <c r="C10" i="15"/>
  <c r="C4" i="17"/>
  <c r="E25" i="14"/>
  <c r="D4" i="15"/>
  <c r="D6" i="15" s="1"/>
  <c r="D18" i="15"/>
  <c r="D19" i="15" s="1"/>
  <c r="E19" i="13"/>
  <c r="E22" i="13" s="1"/>
  <c r="C16" i="17"/>
  <c r="C12" i="17"/>
  <c r="C20" i="15"/>
  <c r="F13" i="15"/>
  <c r="F21" i="14"/>
  <c r="F33" i="13"/>
  <c r="C7" i="16"/>
  <c r="E26" i="14"/>
  <c r="E33" i="13"/>
  <c r="E34" i="13" s="1"/>
  <c r="E8" i="14" s="1"/>
  <c r="E13" i="15"/>
  <c r="E21" i="14"/>
  <c r="D34" i="13"/>
  <c r="D8" i="14" s="1"/>
  <c r="S81" i="3"/>
  <c r="C41" i="4"/>
  <c r="E41" i="4" s="1"/>
  <c r="V75" i="3"/>
  <c r="V77" i="3"/>
  <c r="E17" i="4"/>
  <c r="H22" i="4" s="1"/>
  <c r="H21" i="4"/>
  <c r="F28" i="4" s="1"/>
  <c r="O80" i="3"/>
  <c r="F25" i="14" l="1"/>
  <c r="F26" i="14" s="1"/>
  <c r="F4" i="15" s="1"/>
  <c r="F6" i="15" s="1"/>
  <c r="E4" i="15"/>
  <c r="E6" i="15" s="1"/>
  <c r="F34" i="13"/>
  <c r="F8" i="14" s="1"/>
  <c r="F19" i="13"/>
  <c r="F22" i="13" s="1"/>
  <c r="F18" i="15" s="1"/>
  <c r="F19" i="15" s="1"/>
  <c r="E18" i="15"/>
  <c r="E19" i="15" s="1"/>
  <c r="D12" i="17"/>
  <c r="D20" i="15"/>
  <c r="D16" i="17"/>
  <c r="D5" i="17"/>
  <c r="D4" i="17"/>
  <c r="D10" i="15"/>
  <c r="C10" i="17"/>
  <c r="C15" i="17"/>
  <c r="C21" i="15"/>
  <c r="A30" i="4"/>
  <c r="C30" i="4"/>
  <c r="D21" i="15" l="1"/>
  <c r="D15" i="17"/>
  <c r="D10" i="17"/>
  <c r="E12" i="17"/>
  <c r="E20" i="15"/>
  <c r="E16" i="17"/>
  <c r="F20" i="15"/>
  <c r="F12" i="17"/>
  <c r="F16" i="17"/>
  <c r="E5" i="17"/>
  <c r="E10" i="15"/>
  <c r="E4" i="17"/>
  <c r="F10" i="15"/>
  <c r="F5" i="17"/>
  <c r="F4" i="17"/>
  <c r="F21" i="15" l="1"/>
  <c r="F15" i="17"/>
  <c r="F10" i="17"/>
  <c r="E15" i="17"/>
  <c r="E21" i="15"/>
  <c r="E10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4" authorId="0" shapeId="0" xr:uid="{E28F9042-31FF-4B4B-BA48-0F32B3ED11F0}">
      <text>
        <r>
          <rPr>
            <sz val="10"/>
            <color rgb="FF000000"/>
            <rFont val="Arial"/>
            <family val="2"/>
          </rPr>
          <t xml:space="preserve">สินทรัพย์หมุนเวียน
  หนี้สินหมุนเวียน
</t>
        </r>
      </text>
    </comment>
    <comment ref="A5" authorId="0" shapeId="0" xr:uid="{62A26884-CFEA-4636-A5B0-503150D34EDC}">
      <text>
        <r>
          <rPr>
            <sz val="10"/>
            <color rgb="FF000000"/>
            <rFont val="Arial"/>
            <family val="2"/>
          </rPr>
          <t>สินทรัพย์หมุนเวียน-สินค้า
หนี้สินหมุนเวียน</t>
        </r>
      </text>
    </comment>
    <comment ref="A7" authorId="0" shapeId="0" xr:uid="{311BDB82-BDB6-4EBD-BF8E-8D4347D5598B}">
      <text>
        <r>
          <rPr>
            <sz val="10"/>
            <color rgb="FF000000"/>
            <rFont val="Arial"/>
            <family val="2"/>
          </rPr>
          <t xml:space="preserve">ต้นทุนขาย
สินค้าปลายงวด
</t>
        </r>
      </text>
    </comment>
    <comment ref="A8" authorId="0" shapeId="0" xr:uid="{BAC7B901-912D-48DA-AD24-B506F91F5C91}">
      <text>
        <r>
          <rPr>
            <sz val="10"/>
            <color rgb="FF000000"/>
            <rFont val="Arial"/>
            <family val="2"/>
          </rPr>
          <t>360
อัตราการหมุนของสินค้า</t>
        </r>
      </text>
    </comment>
    <comment ref="A9" authorId="0" shapeId="0" xr:uid="{D60B2A2A-348C-49DC-A44C-D3EE22802B3E}">
      <text>
        <r>
          <rPr>
            <sz val="10"/>
            <color rgb="FF000000"/>
            <rFont val="Arial"/>
            <family val="2"/>
          </rPr>
          <t xml:space="preserve">ยอดขาย
สินทรัพย์สุทธิ
</t>
        </r>
      </text>
    </comment>
    <comment ref="A10" authorId="0" shapeId="0" xr:uid="{D4AC5024-27D2-482A-99E6-092E165312EE}">
      <text>
        <r>
          <rPr>
            <sz val="10"/>
            <color rgb="FF000000"/>
            <rFont val="Arial"/>
            <family val="2"/>
          </rPr>
          <t xml:space="preserve">ยอดขาย
สินทรัพย์รวม
</t>
        </r>
      </text>
    </comment>
    <comment ref="A12" authorId="0" shapeId="0" xr:uid="{838032F1-EFE4-4FC1-A41E-5F5C464DCB70}">
      <text>
        <r>
          <rPr>
            <sz val="10"/>
            <color rgb="FF000000"/>
            <rFont val="Arial"/>
            <family val="2"/>
          </rPr>
          <t xml:space="preserve"> หนี้ทั้งหมด
ส่วนของเจ้าของ
</t>
        </r>
      </text>
    </comment>
    <comment ref="A13" authorId="0" shapeId="0" xr:uid="{DA342F50-DC23-4A20-83C7-47C6D0F05BC4}">
      <text>
        <r>
          <rPr>
            <sz val="10"/>
            <color rgb="FF000000"/>
            <rFont val="Arial"/>
            <family val="2"/>
          </rPr>
          <t xml:space="preserve"> EBIT
I
</t>
        </r>
      </text>
    </comment>
    <comment ref="A15" authorId="0" shapeId="0" xr:uid="{E63D5FC8-014B-4A30-895C-16D18C724050}">
      <text>
        <r>
          <rPr>
            <sz val="10"/>
            <color rgb="FF000000"/>
            <rFont val="Arial"/>
            <family val="2"/>
          </rPr>
          <t xml:space="preserve"> กำไรสุทธิ
สินทรัพย์รวม
</t>
        </r>
      </text>
    </comment>
    <comment ref="A16" authorId="0" shapeId="0" xr:uid="{BE6A8F67-3C6C-4DA5-9579-F4EE96DF4831}">
      <text>
        <r>
          <rPr>
            <sz val="10"/>
            <color rgb="FF000000"/>
            <rFont val="Arial"/>
            <family val="2"/>
          </rPr>
          <t xml:space="preserve"> กำไรสุทธิ
ส่วนของเจ้าของ
</t>
        </r>
      </text>
    </comment>
  </commentList>
</comments>
</file>

<file path=xl/sharedStrings.xml><?xml version="1.0" encoding="utf-8"?>
<sst xmlns="http://schemas.openxmlformats.org/spreadsheetml/2006/main" count="1325" uniqueCount="610">
  <si>
    <t>ชื่อ–สกุล</t>
  </si>
  <si>
    <t>ตำแหน่ง</t>
  </si>
  <si>
    <t>จำนวนหุ้น</t>
  </si>
  <si>
    <t>มูลค่าหุ้น (บาท)</t>
  </si>
  <si>
    <t>ชำระแล้ว</t>
  </si>
  <si>
    <t>สัดส่วน (%)</t>
  </si>
  <si>
    <t>นาย กษิดิศ รัตนวิจิตร</t>
  </si>
  <si>
    <t>นาย พงศ์สิริ ตั้งกิจสงวน</t>
  </si>
  <si>
    <t>น.ส. ณัฐธยาน์ สุวรรณเนตร์</t>
  </si>
  <si>
    <t>นาย ธนวัฒน์ งามสันติกุล</t>
  </si>
  <si>
    <t>น.ส. ภูริชญา ม่วงราช</t>
  </si>
  <si>
    <t>ปันผล 20% ของกำไรสุทธิหลังหักภาษีแล้ว</t>
  </si>
  <si>
    <t>ภาษีปันผลหัก ณ ที่จ่าย</t>
  </si>
  <si>
    <t>ปันผลที่เสียจริง</t>
  </si>
  <si>
    <t>รวม</t>
  </si>
  <si>
    <t>ผู้ถือหุ้น</t>
  </si>
  <si>
    <t>ตัวแปร</t>
  </si>
  <si>
    <t>ค่า</t>
  </si>
  <si>
    <t>หมายเหตุ</t>
  </si>
  <si>
    <t>ลำดับ</t>
  </si>
  <si>
    <t>กลุ่ม/ฝ่าย</t>
  </si>
  <si>
    <t>เงินเดือน (บาท/เดือน)</t>
  </si>
  <si>
    <t>ประกันสังคม</t>
  </si>
  <si>
    <t>EWF</t>
  </si>
  <si>
    <t>WCF</t>
  </si>
  <si>
    <t>ค่าสวัสดิการ/คน/เดือน</t>
  </si>
  <si>
    <t>ราคาขายเฉลี่ยต่อหน่วย (บาท)+VAT</t>
  </si>
  <si>
    <t>อิงแผนราคาเฉลี่ย 899 บาท</t>
  </si>
  <si>
    <t>ต่อวัน</t>
  </si>
  <si>
    <t>บริหาร</t>
  </si>
  <si>
    <t>กรรมการผู้จัดการ (MD)</t>
  </si>
  <si>
    <t>ยอดขายเฉลี่ยต่อเดือน (หน่วย)</t>
  </si>
  <si>
    <t>ช่วง 330–340 หน่วย/เดือน ใช้ค่าเฉลี่ย 335</t>
  </si>
  <si>
    <t>ผลิต &amp; วิศวกรรม</t>
  </si>
  <si>
    <t>ผู้จัดการฝ่ายการผลิต</t>
  </si>
  <si>
    <t>ต้นทุนวัตถุดิบต่อหน่วย (บาท)</t>
  </si>
  <si>
    <t>ตามสมมุติฐานวัตถุดิบ 585 บาท/ชิ้น</t>
  </si>
  <si>
    <t>วิศวกร R&amp;D/ออกแบบผลิตภัณฑ์ #1</t>
  </si>
  <si>
    <t>ค่าจ้างรวมต่อเดือน (บาท)</t>
  </si>
  <si>
    <t>รวมผู้บริหาร+พนักงานทุกฝ่าย</t>
  </si>
  <si>
    <t>การตลาด &amp; ขาย</t>
  </si>
  <si>
    <t>ผู้จัดการฝ่ายการตลาด</t>
  </si>
  <si>
    <t>แผนจัดซื้อวัตถุดิบ/เดือน (หน่วย)</t>
  </si>
  <si>
    <t>ตัวอย่างแผนจัดซื้อ (เพื่อควบคุมสต็อก)</t>
  </si>
  <si>
    <t>Sales Executive #1</t>
  </si>
  <si>
    <t>งบจัดซื้อวัตถุดิบตามแผน (บาท)</t>
  </si>
  <si>
    <t>585 บาท × 300 หน่วย</t>
  </si>
  <si>
    <t>Sales Executive #2</t>
  </si>
  <si>
    <t>เงินลงทุนเริ่มต้น - สำนักงาน/ยานพาหนะ (บาท)</t>
  </si>
  <si>
    <t>ตามตารางลงทุนสำนักงาน</t>
  </si>
  <si>
    <t>Sales Executive #3</t>
  </si>
  <si>
    <t>เงินลงทุนเริ่มต้น - เครื่องมือผลิต (บาท)</t>
  </si>
  <si>
    <t>ตามตารางเครื่องมือผลิต</t>
  </si>
  <si>
    <t>Sales Executive #4</t>
  </si>
  <si>
    <t>เงินลงทุนเริ่มต้นรวม (บาท)</t>
  </si>
  <si>
    <t>รวมสองหมวด</t>
  </si>
  <si>
    <t>Customer Service #1</t>
  </si>
  <si>
    <t>Customer Service #2</t>
  </si>
  <si>
    <t>ค่าสวัสดิการ</t>
  </si>
  <si>
    <t>บัญชี/การเงิน</t>
  </si>
  <si>
    <t>ผู้จัดการการเงิน (Finance Manager)</t>
  </si>
  <si>
    <t>บริหาร &amp; บุคคล</t>
  </si>
  <si>
    <t>Admin/HR</t>
  </si>
  <si>
    <t>กำไรต่อแก้ว</t>
  </si>
  <si>
    <t>ราคาขายเฉลี่ยต่อหน่วย</t>
  </si>
  <si>
    <t>VAT</t>
  </si>
  <si>
    <t>1/DS</t>
  </si>
  <si>
    <t>ตัวแก้ว</t>
  </si>
  <si>
    <t>อิเล็กทรอนิกส์</t>
  </si>
  <si>
    <t>ชิ้นส่วนฝา/โอริง</t>
  </si>
  <si>
    <t>กล่อง/คู่มือ</t>
  </si>
  <si>
    <t>ค่าเสื่อม</t>
  </si>
  <si>
    <t>เงินเดือน (บ./ด.)</t>
  </si>
  <si>
    <t>คณะกรรมการ</t>
  </si>
  <si>
    <t>ประธานกรรมการ</t>
  </si>
  <si>
    <t>วิศวกร R&amp;D/ออกแบบผลิตภัณฑ์</t>
  </si>
  <si>
    <t>กรรมการฝ่ายการเงิน</t>
  </si>
  <si>
    <t>วิศวกรควบคุมคุณภาพ (QC)</t>
  </si>
  <si>
    <t>กรรมการฝ่ายการผลิตและวิศวกรรม</t>
  </si>
  <si>
    <t>ช่างประกอบ/พนักงานผลิต #1</t>
  </si>
  <si>
    <t>กรรมการฝ่ายบุคคล</t>
  </si>
  <si>
    <t>ช่างประกอบ/พนักงานผลิต #2</t>
  </si>
  <si>
    <t>ช่างประกอบ/พนักงานผลิต #3</t>
  </si>
  <si>
    <t>เจ้าหน้าที่คลังสินค้า/โลจิสติกส์</t>
  </si>
  <si>
    <t>วิศวกร R&amp;D/ออกแบบผลิตภัณฑ์ #2</t>
  </si>
  <si>
    <t>ผู้จัดการการตลาด/การขาย (รวม)</t>
  </si>
  <si>
    <t>วิศวกรควบคุมคุณภาพ (QC) #1</t>
  </si>
  <si>
    <t>วิศวกรควบคุมคุณภาพ (QC) #2</t>
  </si>
  <si>
    <t>หัวหน้าสายการผลิต #1</t>
  </si>
  <si>
    <t>Customer Service</t>
  </si>
  <si>
    <t>หัวหน้าสายการผลิต #2</t>
  </si>
  <si>
    <t>เจ้าหน้าที่การเงิน/จัดซื้อ</t>
  </si>
  <si>
    <t>ช่างประกอบ/พนักงานฝ่ายผลิต #1</t>
  </si>
  <si>
    <t>Admin/HR/IT (รวมหน้าที่)</t>
  </si>
  <si>
    <t>ช่างประกอบ/พนักงานฝ่ายผลิต #2</t>
  </si>
  <si>
    <t>รวมเงินเดือน/เดือน</t>
  </si>
  <si>
    <t>ช่างประกอบ/พนักงานฝ่ายผลิต #3</t>
  </si>
  <si>
    <t>ช่างประกอบ/พนักงานฝ่ายผลิต #4</t>
  </si>
  <si>
    <t>ช่างประกอบ/พนักงานฝ่ายผลิต #5</t>
  </si>
  <si>
    <t>ช่างประกอบ/พนักงานฝ่ายผลิต #6</t>
  </si>
  <si>
    <t>ช่างประกอบ/พนักงานฝ่ายผลิต #7</t>
  </si>
  <si>
    <t>ช่างประกอบ/พนักงานฝ่ายผลิต #8</t>
  </si>
  <si>
    <t>เจ้าหน้าที่คลังสินค้า/โลจิสติกส์ #1</t>
  </si>
  <si>
    <t>เจ้าหน้าที่คลังสินค้า/โลจิสติกส์ #2</t>
  </si>
  <si>
    <t>เจ้าหน้าที่คลังสินค้า/โลจิสติกส์ #3</t>
  </si>
  <si>
    <t>เจ้าหน้าที่การตลาดดิจิทัล #1</t>
  </si>
  <si>
    <t>เจ้าหน้าที่การตลาดดิจิทัล #2</t>
  </si>
  <si>
    <t>ช่างประกอบ/พนักงานผลิต #4</t>
  </si>
  <si>
    <t>ช่างประกอบ/พนักงานผลิต #5</t>
  </si>
  <si>
    <t>ช่างประกอบ/พนักงานผลิต #6</t>
  </si>
  <si>
    <t>บัญชี &amp; การเงิน</t>
  </si>
  <si>
    <t>ผู้จัดการฝ่ายการเงิน</t>
  </si>
  <si>
    <t>เจ้าหน้าที่บัญชี #1</t>
  </si>
  <si>
    <t>เจ้าหน้าที่บัญชี #2</t>
  </si>
  <si>
    <t>เจ้าหน้าที่การเงิน/จัดซื้อ #1</t>
  </si>
  <si>
    <t>เจ้าหน้าที่การเงิน/จัดซื้อ #2</t>
  </si>
  <si>
    <t>ผู้ตรวจสอบบัญชี (Auditor)</t>
  </si>
  <si>
    <t>ผู้จัดการฝ่ายบุคคล (HR Manager)</t>
  </si>
  <si>
    <t>เจ้าหน้าที่บุคคล/ธุรการ</t>
  </si>
  <si>
    <t>เจ้าหน้าที่ไอทีและซัพพอร์ต</t>
  </si>
  <si>
    <t>โซน</t>
  </si>
  <si>
    <t>พื้นที่ (ตร.ม.)</t>
  </si>
  <si>
    <t>หน้าที่หลัก / หมายเหตุ</t>
  </si>
  <si>
    <t>บล็อกการผลิต (สถานี A–F)</t>
  </si>
  <si>
    <t>ประกอบ, บัดกรี, อัลตราโซนิก, ทดสอบ, QC; รองรับ ESD, พื้นอีพ็อกซี, ความสว่าง 1000 ลักซ์</t>
  </si>
  <si>
    <t>พื้นที่เก็บวัตถุดิบ (RM)</t>
  </si>
  <si>
    <t>ชั้นวางแบบ FIFO, โต๊ะคิทติ้ง, จุดสแกนบาร์โค้ด</t>
  </si>
  <si>
    <t>แพ็กกิ้ง &amp; ติดฉลาก</t>
  </si>
  <si>
    <t>สถานีแพ็ก 2 จุด, เครื่องพิมพ์ฉลาก, เครื่องชั่ง</t>
  </si>
  <si>
    <t>โซนพักสินค้าสำเร็จรูป (FG)</t>
  </si>
  <si>
    <t>พาเลต/ชั้นวาง, ตรวจสอบก่อนส่งออก</t>
  </si>
  <si>
    <t>สำนักงาน + R&amp;D (โซนเงียบ)</t>
  </si>
  <si>
    <t>โต๊ะทำงานแบบเปิด 22 ที่, โต๊ะทดลอง R&amp;D, ห้องประชุม</t>
  </si>
  <si>
    <t>ท่าขนถ่าย / ยูทิลิตี้ / แพนทรี / ห้องประชุม</t>
  </si>
  <si>
    <t>ประตูกว้าง ≈3.5 ม., รับ–ส่งสินค้า</t>
  </si>
  <si>
    <t>โถงทางเดิน / บริการ / ห้องน้ำ / กันชนพื้นที่</t>
  </si>
  <si>
    <t>ช่องทางเดินโล่ง ≥1.2–1.5 ม.</t>
  </si>
  <si>
    <t>รวมพื้นที่</t>
  </si>
  <si>
    <t>รายการ (Item) Production Equipment</t>
  </si>
  <si>
    <t>จำนวน (Qty)</t>
  </si>
  <si>
    <t>ราคาต่อหน่วย (THB)</t>
  </si>
  <si>
    <t>ราคารวม (THB)</t>
  </si>
  <si>
    <t>เครื่องเชื่อมอัลตราโซนิก (Ultrasonic welding machine)</t>
  </si>
  <si>
    <t>ใช้เชื่อมฝา/ตัวเรือน</t>
  </si>
  <si>
    <t>โต๊ะประกอบงาน (ESD) (Assembly workbench)</t>
  </si>
  <si>
    <t>แผ่นรอง/พรม ESD</t>
  </si>
  <si>
    <t>สถานีบัดกรี (Soldering station)</t>
  </si>
  <si>
    <t>แนะนำติดตั้งระบบดูดควันเฉพาะจุด</t>
  </si>
  <si>
    <t>แร็คทดสอบแบตเตอรี่หลายช่อง (Battery test rack, multi-channel)</t>
  </si>
  <si>
    <t>ทดสอบแบตฯ/ฟังก์ชันแบบขนาน</t>
  </si>
  <si>
    <t>อุปกรณ์สอบเทียบ/ทดสอบฟังก์ชัน (Calibration/functional test rigs)</t>
  </si>
  <si>
    <t>ฟิกซ์เจอร์ ToF/เซนเซอร์</t>
  </si>
  <si>
    <t>กล้องจุลทรรศน์สเตอริโอ/กล้องตรวจสอบ (Stereo microscope/inspection camera)</t>
  </si>
  <si>
    <t>ตรวจสอบคุณภาพ (QC)</t>
  </si>
  <si>
    <t>เครื่องชั่งความละเอียดสูง/โหลดเซลล์ (Precision scale/loadcell)</t>
  </si>
  <si>
    <t>ทดสอบน้ำหนัก/แรงสำหรับ QC</t>
  </si>
  <si>
    <t>ตู้ทดสอบสภาพแวดล้อมขนาดเล็ก (ตัวเลือก) (Small environmental test chamber)</t>
  </si>
  <si>
    <t>ทดสอบ IP/อุณหภูมิ – จ้างภายนอกได้</t>
  </si>
  <si>
    <t>ชุดเครื่องมือ/อะไหล่ (เหมารวม) (Tool kit/spare parts)</t>
  </si>
  <si>
    <t>วัสดุสิ้นเปลืองและอะไหล่</t>
  </si>
  <si>
    <t>แผ่นรอง ESD และระบบกราวด์ (เหมารวม) (ESD mats &amp; grounding)</t>
  </si>
  <si>
    <t>ความปลอดภัย ESD</t>
  </si>
  <si>
    <t>รายการ (Item) Office &amp; IT</t>
  </si>
  <si>
    <t>ราคาต่อหน่วย (บาท)</t>
  </si>
  <si>
    <t>ราคารวม (บาท)</t>
  </si>
  <si>
    <t>เครื่องคอมพิวเตอร์ทำงาน (เวิร์กสเตชันแบบผสมแล็ปท็อป/เดสก์ท็อป)</t>
  </si>
  <si>
    <t>คอมพิวเตอร์สำหรับพนักงาน</t>
  </si>
  <si>
    <t>โต๊ะทำงาน + เก้าอี้</t>
  </si>
  <si>
    <t>เฟอร์นิเจอร์สำนักงานแบบโมดูลาร์</t>
  </si>
  <si>
    <t>จอประชุม + เว็บแคม/ลำโพง</t>
  </si>
  <si>
    <t>ชุดอุปกรณ์ห้องประชุม</t>
  </si>
  <si>
    <t>ระบบเครือข่าย &amp; สวิตช์ + สายสัญญาณ</t>
  </si>
  <si>
    <t>เราท์เตอร์/สวิตช์ เครือข่าย</t>
  </si>
  <si>
    <t>กล้องวงจรปิด (6 จุด)</t>
  </si>
  <si>
    <t>ระบบความปลอดภัย</t>
  </si>
  <si>
    <t>เครื่องพิมพ์มัลติฟังก์ชันสำนักงาน (MFP)</t>
  </si>
  <si>
    <t>All-in-one</t>
  </si>
  <si>
    <t>ยังไม่รวม VAT</t>
  </si>
  <si>
    <t>รายการ (Item) Vehicles</t>
  </si>
  <si>
    <t>รถกระบะบรรทุกขนาดเล็ก (ซื้อ)</t>
  </si>
  <si>
    <t>ใช้รับวัตถุดิบ (RM) / ส่งของภายในพื้นที่</t>
  </si>
  <si>
    <t>รถตู้ (ตัวเลือก / เช่า)</t>
  </si>
  <si>
    <t>พิจารณาเช่าหรือใช้ 3PL แทน</t>
  </si>
  <si>
    <t>รถยก (ตัวเลือก) / แฮนด์ลิฟต์ไฟฟ้า</t>
  </si>
  <si>
    <t>อาจใช้แฮนด์ลิฟต์ไฟฟ้าแทน</t>
  </si>
  <si>
    <t>ใช้ 3PL สำหรับส่งค้าปลีก (ประเมินรายเดือน)</t>
  </si>
  <si>
    <t>—</t>
  </si>
  <si>
    <t>ช่วยลด CAPEX; ค่าขนส่งคิดตามรอบงาน แยกต่างหาก</t>
  </si>
  <si>
    <t>รายการ (Item) Storage &amp; Material Handling</t>
  </si>
  <si>
    <t>ชั้นวางพาเลต (วัตถุดิบ)</t>
  </si>
  <si>
    <t>ความสูงชั้น 2.0–2.5 ม.</t>
  </si>
  <si>
    <t>ชั้นวางชิ้นส่วนย่อย</t>
  </si>
  <si>
    <t>ถัง/กล่องแยกชิ้น + ป้ายฉลาก</t>
  </si>
  <si>
    <t>แฮนด์พาเลตแบบแมนนวล</t>
  </si>
  <si>
    <t>งานขนย้ายวัสดุ</t>
  </si>
  <si>
    <t>รถเข็น/ทรอลี่วัสดุ</t>
  </si>
  <si>
    <t>ขนส่งภายในโรงงาน</t>
  </si>
  <si>
    <t>ชั้นวางสินค้าสำเร็จรูป (FG)</t>
  </si>
  <si>
    <t>จัดเก็บ FG</t>
  </si>
  <si>
    <t>รายการ (Item) Fit-out &amp; Utilities</t>
  </si>
  <si>
    <t>พื้นอีพ็อกซี + ระบบกราวด์ ESD (โซนผลิต)</t>
  </si>
  <si>
    <t>Epoxy + จุดต่อกราวด์</t>
  </si>
  <si>
    <t>อัปเกรดตู้ไฟ/ตู้เมน + มิเตอร์ย่อย</t>
  </si>
  <si>
    <t>แยกมิเตอร์โซนผลิต/สำนักงาน</t>
  </si>
  <si>
    <t>อัปเกรดไฟส่องงาน LED (โต๊ะผลิต)</t>
  </si>
  <si>
    <t>ไฟเฉพาะจุด ≥1,000 ลักซ์</t>
  </si>
  <si>
    <t>ระบบปรับอากาศ/ดูดไอเฉพาะจุด (งานบัดกรี)</t>
  </si>
  <si>
    <t>ระบบดูดควันเฉพาะจุด</t>
  </si>
  <si>
    <t>อุปกรณ์ดับเพลิง &amp; ป้ายความปลอดภัย</t>
  </si>
  <si>
    <t>ถังดับเพลิง ฯลฯ</t>
  </si>
  <si>
    <t>solar cell 40kw</t>
  </si>
  <si>
    <t>ค่าของใช้สิ้นเปลืองต่างๆ</t>
  </si>
  <si>
    <t>น้ำมันรถ (2 คัน)</t>
  </si>
  <si>
    <t>ค่าบำรุงรักษารถ</t>
  </si>
  <si>
    <t>น้ำดื่ม / อื่น ๆ (ขวดใหญ่ 20L)</t>
  </si>
  <si>
    <t>น้ำหมึก / Toner</t>
  </si>
  <si>
    <t>ถุงมือยาง / หน้ากาก</t>
  </si>
  <si>
    <t>หลอดไฟ / แบตเตอรี่</t>
  </si>
  <si>
    <t>ปากกา</t>
  </si>
  <si>
    <t>ดินสอ</t>
  </si>
  <si>
    <t>ยางลบ</t>
  </si>
  <si>
    <t>อุปกรณ์ไอทีเล็ก ๆ (สาย, USB)</t>
  </si>
  <si>
    <t>ค่าของใช้สิ้นเปลืองต่างๆ/ปี</t>
  </si>
  <si>
    <t>กระดาษ A4 (แพ็ค)</t>
  </si>
  <si>
    <t>อุปกรณ์การแพทย์ (First-aid)</t>
  </si>
  <si>
    <t>เครื่องใช้สำนักงาน (กาว เทป กรรไกร ฯลฯ)</t>
  </si>
  <si>
    <t>วัสดุทำความสะอาด / น้ำยา / ผ้า</t>
  </si>
  <si>
    <t>หมวดหมู่ (Category)</t>
  </si>
  <si>
    <t>จำนวนเงิน (บาท)</t>
  </si>
  <si>
    <t>อุปกรณ์การผลิต &amp; ตรวจคุณภาพ (Production &amp; QC equipment)</t>
  </si>
  <si>
    <t>สำนักงาน &amp; ไอที (Office &amp; IT)</t>
  </si>
  <si>
    <t>ยานพาหนะ (Vehicles)</t>
  </si>
  <si>
    <t>จัดเก็บ &amp; งานขนย้าย (Storage &amp; Handling)</t>
  </si>
  <si>
    <t>งานปรับปรุงพื้นที่ &amp; สาธารณูปโภค (Fit-out &amp; Utilities)</t>
  </si>
  <si>
    <t>รวมย่อย CAPEX — คำนวณจากรายการข้างต้น</t>
  </si>
  <si>
    <t>เงินสำรองเผื่อ 10% (Contingency)</t>
  </si>
  <si>
    <t>ยอดรวม CAPEX ทั้งหมด (คำนวณใหม่)</t>
  </si>
  <si>
    <t>รายการ (Item)</t>
  </si>
  <si>
    <t>หน่วย (Unit)</t>
  </si>
  <si>
    <t>ค่าใช้จ่ายรายเดือน (บาท)</t>
  </si>
  <si>
    <t>ค่าเช่า (ประเมิน)</t>
  </si>
  <si>
    <t>เดือน</t>
  </si>
  <si>
    <t>ขึ้นกับทำเล</t>
  </si>
  <si>
    <t>ค่าสาธารณูปโภค (ไฟฟ้า/น้ำ)</t>
  </si>
  <si>
    <t>ไฟส่องสว่างและเครื่องจักร</t>
  </si>
  <si>
    <t>เงินเดือน (รวมต่อเดือน)</t>
  </si>
  <si>
    <t>อ้างอิงบัญชีเงินเดือนที่ให้มา</t>
  </si>
  <si>
    <t>3PL / โลจิสติกส์ (ประเมิน)</t>
  </si>
  <si>
    <t>แปรผันตามรอบการจัดส่ง</t>
  </si>
  <si>
    <t>บำรุงรักษา &amp; อะไหล่</t>
  </si>
  <si>
    <t>งานบำรุงรักษาประจำ &amp; อะไหล่</t>
  </si>
  <si>
    <t>ค่าการตลาด</t>
  </si>
  <si>
    <t>ประกันภัย &amp; เบ็ดเตล็ด</t>
  </si>
  <si>
    <t>ประกันภัย &amp; ค่าใช้จ่ายสำนักงาน</t>
  </si>
  <si>
    <t>จัดทำwebside</t>
  </si>
  <si>
    <t>โฆษณา</t>
  </si>
  <si>
    <t>ค่าคอมมิชชั่น</t>
  </si>
  <si>
    <t>หมวดหมู่</t>
  </si>
  <si>
    <t>กำลังไฟ (kW)</t>
  </si>
  <si>
    <t>ชม./วัน</t>
  </si>
  <si>
    <t>วัน/เดือน</t>
  </si>
  <si>
    <t>ชม./เดือน</t>
  </si>
  <si>
    <t>พลังงาน (kWh/เดือน)</t>
  </si>
  <si>
    <t>โซนผลิต (เครื่องจักร+ไฟส่องงาน+ดูดควัน)</t>
  </si>
  <si>
    <t>Ultrasonic, โต๊ะงาน, บัดกรี, แร็คทดสอบ, ตู้ทดสอบ, ไฟผลิต, ดูดควัน</t>
  </si>
  <si>
    <t>1-150</t>
  </si>
  <si>
    <t>สำนักงาน &amp; ไอที</t>
  </si>
  <si>
    <t>PC, ไฟออฟฟิศ, เน็ตเวิร์ก, เครื่องพิมพ์</t>
  </si>
  <si>
    <t>151-400</t>
  </si>
  <si>
    <t>HVAC/ทำความเย็น (รวมดูดควันบางส่วน)</t>
  </si>
  <si>
    <t>ประมาณชั่วโมงการทำงานแอร์/ระบายอากาศ 10 ชม./วัน</t>
  </si>
  <si>
    <t>400&gt;</t>
  </si>
  <si>
    <t>เครื่องพิมพ์ฉลาก, ซีล, ไฟ</t>
  </si>
  <si>
    <t>ค่าไฟ</t>
  </si>
  <si>
    <t>ไฟส่องสว่างคลัง/ชั้นวาง</t>
  </si>
  <si>
    <t>ไฟชั้นวาง</t>
  </si>
  <si>
    <t>ค่าบริการ</t>
  </si>
  <si>
    <t>ไฟโซนสินค้าสำเร็จรูป (FG)</t>
  </si>
  <si>
    <t>ไฟโซนพัก FG</t>
  </si>
  <si>
    <t>อื่น ๆ (CCTV, UPS, ปลั๊กสแตนด์บาย)</t>
  </si>
  <si>
    <t>CCTV, UPS, ปลั๊กไม่ได้ใช้งาน</t>
  </si>
  <si>
    <t>บาทต่อเดือน</t>
  </si>
  <si>
    <t>solar</t>
  </si>
  <si>
    <t>สมมติฐาน</t>
  </si>
  <si>
    <t>วันทำงานต่อเดือน</t>
  </si>
  <si>
    <t>วัน</t>
  </si>
  <si>
    <t>อัตราค่าไฟเริ่มต้น</t>
  </si>
  <si>
    <t>บาท/kWh</t>
  </si>
  <si>
    <t>ชั่วโมงทำงานโซนผลิต/ออฟฟิศ</t>
  </si>
  <si>
    <t>ชั่วโมงทำงานระบบ HVAC</t>
  </si>
  <si>
    <t>ค่า kW เป็นค่าประมาณ เพื่อคิดบิลจริงควรใช้สเปก kW ของอุปกรณ์และอัตราค่าไฟท้องถิ่น</t>
  </si>
  <si>
    <t>รายการ</t>
  </si>
  <si>
    <t>kWh/เดือน</t>
  </si>
  <si>
    <t>อัตราค่าไฟ (บาท/kWh)</t>
  </si>
  <si>
    <t>ค่าไฟรวมต่อเดือน (บาท)</t>
  </si>
  <si>
    <t>รวมทุกหมวด</t>
  </si>
  <si>
    <t>หน่วย/เดือน</t>
  </si>
  <si>
    <t>ค่าน้ำ</t>
  </si>
  <si>
    <t>รายได้จากการขาย (บาท)</t>
  </si>
  <si>
    <t>ต้นทุนวัตถุดิบ (บาท)</t>
  </si>
  <si>
    <t>กำไรขั้นต้น (บาท)</t>
  </si>
  <si>
    <t>ค่าจ้าง (บาท)</t>
  </si>
  <si>
    <t>ค่าอื่นๆ</t>
  </si>
  <si>
    <t>ลงทุนครั้งเดียว</t>
  </si>
  <si>
    <t>EBITDA โดยประมาณ (บาท)</t>
  </si>
  <si>
    <t>สะสม</t>
  </si>
  <si>
    <t>กำไรสุทธิ</t>
  </si>
  <si>
    <t>ต้นทุนวัตถุดิบ</t>
  </si>
  <si>
    <t>ทุน</t>
  </si>
  <si>
    <t>เงินสำรองในปีแรก</t>
  </si>
  <si>
    <t>เงินสำรองในปีแรก+รวม</t>
  </si>
  <si>
    <t>January</t>
  </si>
  <si>
    <t>ค่าใช้ทั้งหมดในปีนี้</t>
  </si>
  <si>
    <t>เงินสำรอง 50%</t>
  </si>
  <si>
    <t xml:space="preserve">February </t>
  </si>
  <si>
    <t xml:space="preserve">March </t>
  </si>
  <si>
    <t xml:space="preserve">April </t>
  </si>
  <si>
    <t>ต้นทุนต่อยอดขาย</t>
  </si>
  <si>
    <t>เงินที่มีก่อนเปิดกิจการ</t>
  </si>
  <si>
    <t>May</t>
  </si>
  <si>
    <t>June</t>
  </si>
  <si>
    <t>อื่น</t>
  </si>
  <si>
    <t>รวม+อื่น</t>
  </si>
  <si>
    <t>July</t>
  </si>
  <si>
    <t>August</t>
  </si>
  <si>
    <t>September</t>
  </si>
  <si>
    <t>October</t>
  </si>
  <si>
    <t>November</t>
  </si>
  <si>
    <t>December</t>
  </si>
  <si>
    <t>Tax</t>
  </si>
  <si>
    <t>ปันผล</t>
  </si>
  <si>
    <t>กำไรสุทธิ-ภาษี-ปันผล</t>
  </si>
  <si>
    <t>average</t>
  </si>
  <si>
    <t>กำไรสุทธิ(บาท)</t>
  </si>
  <si>
    <t>อัตราภาษี(ร้อยละ)</t>
  </si>
  <si>
    <t>0-300,000</t>
  </si>
  <si>
    <t>300,000-3,000,000</t>
  </si>
  <si>
    <t>&gt;3,000,000</t>
  </si>
  <si>
    <t>Net Profit after Tax</t>
  </si>
  <si>
    <t>ค่า (บาท/หน่วย หรือ หน่วย)</t>
  </si>
  <si>
    <t>ส่วนเพิ่มต่อหน่วย (ราคาขาย-ต้นทุนวัสดุ)</t>
  </si>
  <si>
    <t>ต้นทุนคงที่/เดือน (ใช้ค่าจ้างเป็นฐาน)</t>
  </si>
  <si>
    <t>จุดคุ้มทุน (หน่วย/เดือน)</t>
  </si>
  <si>
    <t>Discount rate</t>
  </si>
  <si>
    <t>ส่วนช่วยการขายต่อหน่อย</t>
  </si>
  <si>
    <t>FX</t>
  </si>
  <si>
    <t>รายได้สุทธิ</t>
  </si>
  <si>
    <t>รายได้สุทธิสะสม</t>
  </si>
  <si>
    <t>ROI</t>
  </si>
  <si>
    <t>ไม่รวมปี 0 (เอาไว้วัดประสิทธิภาพการดำเนินงานรายปี)</t>
  </si>
  <si>
    <t>รวมปี 0 (มองมูลค่ารวมทั้งก้อนลงทุน)</t>
  </si>
  <si>
    <t>พอใช้</t>
  </si>
  <si>
    <t>อ่อน</t>
  </si>
  <si>
    <t>BreakEvenPiont</t>
  </si>
  <si>
    <t>ใกล้เกณฑ์</t>
  </si>
  <si>
    <t>Payback Period</t>
  </si>
  <si>
    <t>2ปี 7เดือน 7วัน</t>
  </si>
  <si>
    <t>วันทั้งหมด</t>
  </si>
  <si>
    <t>NPV</t>
  </si>
  <si>
    <t>ดี</t>
  </si>
  <si>
    <t>IRR</t>
  </si>
  <si>
    <t>ดีมาก</t>
  </si>
  <si>
    <t>เริ่มดี</t>
  </si>
  <si>
    <t>ปี</t>
  </si>
  <si>
    <t>กำไรสุทธิ (NI)</t>
  </si>
  <si>
    <t>กระแสเงินสดจากกำไร (NI+D)</t>
  </si>
  <si>
    <t>ฐานลงทุนไม่รวมปี 0</t>
  </si>
  <si>
    <t>ROI บัญชี ไม่รวมปี0</t>
  </si>
  <si>
    <t>ROI เงินสด ไม่รวมปี0</t>
  </si>
  <si>
    <t>ฐานลงทุนรวมปี 0</t>
  </si>
  <si>
    <t>ROI บัญชี รวมปี0</t>
  </si>
  <si>
    <t>ROI เงินสด รวมปี0</t>
  </si>
  <si>
    <t>หลักคิด</t>
  </si>
  <si>
    <t>ROI ต้องชนะ “ค่าใช้ทุน” (Hurdle/WACC) ถึงจะถือว่าดีจริง</t>
  </si>
  <si>
    <t>ขั้นต่ำ: &gt; ดอกเบี้ยเงินกู้สุทธิภาษี (ไม่งั้นกู้มาไม่คุ้ม)</t>
  </si>
  <si>
    <t>มาตรฐาน: &gt; WACC (ถึงจะ “สร้างมูลค่า” ให้กิจการ)</t>
  </si>
  <si>
    <t>เป้าท้าทายสำหรับ SME/ฮาร์ดแวร์ที่มีความเสี่ยง: ≥ 12–15%+/ปี มักถูกมองว่า “ดี”, ต่ำกว่านั้น “พอใช้–อ่อน”</t>
  </si>
  <si>
    <t>หมวด</t>
  </si>
  <si>
    <t>มูลค่า (บาท)</t>
  </si>
  <si>
    <t>สำนักงาน/ยานพาหนะ</t>
  </si>
  <si>
    <t>เครื่องมือผลิต</t>
  </si>
  <si>
    <t>ปีที่ 1 (บาท)</t>
  </si>
  <si>
    <t>ปีที่ 2 (บาท)</t>
  </si>
  <si>
    <t>ปีที่ 3 (บาท)</t>
  </si>
  <si>
    <t>เงินเดือนผู้บริหารและพนักงาน</t>
  </si>
  <si>
    <t>ค่าเช่าสถานที่</t>
  </si>
  <si>
    <t>ค่าสาธารณูปโภค</t>
  </si>
  <si>
    <t>ค่าเช่ายานพาหนะสำนักงาน</t>
  </si>
  <si>
    <t>-</t>
  </si>
  <si>
    <t>ค่าเสื่อมรวม</t>
  </si>
  <si>
    <t>ดอกเบี้ยจ่าย</t>
  </si>
  <si>
    <t>อื่น ๆ</t>
  </si>
  <si>
    <t>รวมต่อปี</t>
  </si>
  <si>
    <t xml:space="preserve"> </t>
  </si>
  <si>
    <t>สรุปภาพรวมทางการเงิน (สมมุติฐานคงที่)</t>
  </si>
  <si>
    <t>รายได้/เดือน (บาท)</t>
  </si>
  <si>
    <t>ต้นทุนวัตถุดิบ/เดือน (บาท)</t>
  </si>
  <si>
    <t>กำไรขั้นต้น/เดือน (บาท)</t>
  </si>
  <si>
    <t>ค่าจ้าง/เดือน (บาท)</t>
  </si>
  <si>
    <t>EBITDA/เดือน (บาท)</t>
  </si>
  <si>
    <t>หมายเหตุสำคัญ</t>
  </si>
  <si>
    <t>1) โมเดลนี้คิดเฉพาะ 'วัสดุ' เป็นต้นทุนผันแปร และใช้ 'ค่าจ้าง' เป็นต้นทุนคงที่หลัก</t>
  </si>
  <si>
    <t>2) ผู้ใช้สามารถแก้ไขยอดขาย/ราคา/ต้นทุนในชีต Inputs&amp;Assumptions เพื่ออัปเดตผลคำนวณอัตโนมัติ</t>
  </si>
  <si>
    <t>3) หากเพิ่มค่าใช้จ่ายการตลาด/ค่าเช่า ให้กรอกในคอลัมน์ 'ค่าใช้จ่ายอื่น' ในชีต Monthly_P&amp;L_12M</t>
  </si>
  <si>
    <t>ข้อแนะนำก่อนใช้โปรแกรมดังนี้</t>
  </si>
  <si>
    <t>ให้กรอกข้อมูลเฉพาะ Sheet ที่มีแถมสีเขียวเท่านั้น</t>
  </si>
  <si>
    <t>ถ้าแถว(ROW)ไม่พอให้แทรกแถวได้แต่ต้องก่อนยอดรวม(SUM)</t>
  </si>
  <si>
    <t>การประมาณการยอดขายต้องทำเองแล้ว Copy ไปใส่ในSheet (สินค้าและส่งเสริมการขาย)</t>
  </si>
  <si>
    <t>นำไปใส่ในช่อง ยอดขาย</t>
  </si>
  <si>
    <t>การประมาณการค่าใช้จ่ายให้กรอกเฉพาะแถวที่มีสีเขียวเท่านั้นหากมีค่าใช้จ่ายอื่น</t>
  </si>
  <si>
    <t>นอกเหนือจากที่กำหนดให้สามารถแทรกแถว(ROW) แล้วพิมพ์เพิ่มเข้าไปได้</t>
  </si>
  <si>
    <t>หากไม่มีค่าใช้ที่กำหนดให้ก็ใส่ 0 แทนการลบ</t>
  </si>
  <si>
    <t>ภาษีเงินได้ที่กำหนดไว้ใช้ 20% สามารถเปลี่ยนแปลงได้ตามประเภทของธุรกิจ</t>
  </si>
  <si>
    <t>ในการคำนวณค่า NPV อัตราผลตอบแทนที่ต้องการควรกำหนดขึ้นเองทั้งนี้ขึ้นอยู่กับ</t>
  </si>
  <si>
    <t>ที่มาของเงินทุนและผู้ลงทุนเอง</t>
  </si>
  <si>
    <t>Copyright © 2017 bit.ly/bu-siriwan</t>
  </si>
  <si>
    <t>ธุรกิจ</t>
  </si>
  <si>
    <t>งบประมาณการลงทุน</t>
  </si>
  <si>
    <t>แหล่งที่มา</t>
  </si>
  <si>
    <t>ส่วนของเจ้าของ</t>
  </si>
  <si>
    <t>เจ้าหนี้(เงินกู้ยืม)</t>
  </si>
  <si>
    <t>สินทรัพย์ไม่หมุนเวียนที่คิดค่าเสื่อม</t>
  </si>
  <si>
    <t>เฟอร์นิเจอร์-เครื่องใช้สำนักงาน</t>
  </si>
  <si>
    <t>เครื่องมืออุปกรณ์การผลิต</t>
  </si>
  <si>
    <t>ยานพาหนะ</t>
  </si>
  <si>
    <t>การจัดเก็บและการจัดการวัสดุ</t>
  </si>
  <si>
    <t>การตกแต่งภายในและสาธารณูปโภค</t>
  </si>
  <si>
    <t>สินทรัพย์ไม่หมุนเวียนรวม</t>
  </si>
  <si>
    <t>ค่าใช้จ่ายก่อนเริ่มดำเนินงาน</t>
  </si>
  <si>
    <t>ค่าจดทะเบียนและค่าตกแต่ง</t>
  </si>
  <si>
    <t>รวมค่าใช้จ่ายก่อนเริ่มดำเนินงาน</t>
  </si>
  <si>
    <t>ค่ามัดจำสถานที่</t>
  </si>
  <si>
    <t>เงินทุนหมุนเวียน</t>
  </si>
  <si>
    <t>รวมเงินลงทุนเริ่มต้น</t>
  </si>
  <si>
    <t>สัดส่วนโครงสร้างเงินทุน(%)</t>
  </si>
  <si>
    <t>การคำนวณค่าเสื่อมราคาและค่าใช้จ่ายตัดจ่าย</t>
  </si>
  <si>
    <t xml:space="preserve">Copyright © 2016 bit.ly/bu-siriwan
</t>
  </si>
  <si>
    <t>การคำนวณค่าเสื่อมราคา</t>
  </si>
  <si>
    <t>ปีที่ 1</t>
  </si>
  <si>
    <t>ปีที่ 2</t>
  </si>
  <si>
    <t>ปีที่ 3</t>
  </si>
  <si>
    <t>ปีที่ 4</t>
  </si>
  <si>
    <t>ปีที่ 5</t>
  </si>
  <si>
    <t>ค่าเสื่อมราคาต่อปี</t>
  </si>
  <si>
    <t>ค่าเสื่อมราคาสะสม</t>
  </si>
  <si>
    <t>โอนไปงบแสดงการเปลี่ยนแปลงฐานะการเงิน</t>
  </si>
  <si>
    <t>หัก ค่าเสื่อมราคาสะสม</t>
  </si>
  <si>
    <t>สินทรัพย์ไม่หมุนเวียนรวมสุทธิ</t>
  </si>
  <si>
    <t>ค่าใช้จ่ายตัดจ่าย</t>
  </si>
  <si>
    <t>ตัดจ่ายสะสม</t>
  </si>
  <si>
    <t>หักตัดจ่ายสะสม</t>
  </si>
  <si>
    <t>ค่าใช้จ่ายก่อนเริ่มดำเนินงานสุทธิ</t>
  </si>
  <si>
    <t>การประมาณการยอดขาย</t>
  </si>
  <si>
    <t>สินค้าหลัก</t>
  </si>
  <si>
    <t>ปีที่2</t>
  </si>
  <si>
    <t>ปีที่3</t>
  </si>
  <si>
    <t>รวมยอดขายต่อวัน</t>
  </si>
  <si>
    <t>ยอดขายต่อเดือน</t>
  </si>
  <si>
    <t>ยอดขายต่อปี</t>
  </si>
  <si>
    <t>การประมาณการยอดขายที่เพิ่มขึ้น</t>
  </si>
  <si>
    <t>สินค้ารอง</t>
  </si>
  <si>
    <t>สรุปยอดขายรายปี</t>
  </si>
  <si>
    <t>สินค้าคงเหลือและการส่งเสริมการขาย</t>
  </si>
  <si>
    <t>สรุปยอดขายรวม</t>
  </si>
  <si>
    <t>นโยบายสินค้าคงเหลือ</t>
  </si>
  <si>
    <t xml:space="preserve">ต้นทุนสินค้า </t>
  </si>
  <si>
    <t>ของยอดขาย</t>
  </si>
  <si>
    <t>ระยะเวลาในการซื้อสินค้า</t>
  </si>
  <si>
    <t>จำนวนวันต่อปี</t>
  </si>
  <si>
    <t>การคำนวณสินค้าคงเหลือ</t>
  </si>
  <si>
    <t>ยอดขายต่อวัน</t>
  </si>
  <si>
    <t xml:space="preserve">การหมุนเวียน </t>
  </si>
  <si>
    <t>สินค้าคงเหลือ</t>
  </si>
  <si>
    <t>นโยบายส่งเสริมการขายโดยการใช้คูปองสะสม</t>
  </si>
  <si>
    <t>ประมาณการผู้ได้คูปอง</t>
  </si>
  <si>
    <t>ประมาณการผู้สะสมคูปองครบ</t>
  </si>
  <si>
    <t>ของผู้ได้คูปอง</t>
  </si>
  <si>
    <t xml:space="preserve">ส่วนลดจ่าย </t>
  </si>
  <si>
    <t>ค่าส่งเสริมการขาย ในการใช้คูปอง</t>
  </si>
  <si>
    <t>ยอดขาย</t>
  </si>
  <si>
    <t>คาดว่าจะมีผู้ใด้คูปอง</t>
  </si>
  <si>
    <t>คาดว่าจะมีผู้ใช้คูปอง</t>
  </si>
  <si>
    <t>ส่วนลดจ่าย</t>
  </si>
  <si>
    <t>การประมาณการค่าใช้จ่าย</t>
  </si>
  <si>
    <t>ต้นทุนคงที่</t>
  </si>
  <si>
    <t>ค่าเช่า</t>
  </si>
  <si>
    <t>เงินเดือน (เพิ่มขึ้น 3%)</t>
  </si>
  <si>
    <t>ค่าไฟฟ้า  แก๊ส  ค่าน้ำ   (เพิ่มขึ้น 3%)</t>
  </si>
  <si>
    <t>ค่าเสื่อมราคา</t>
  </si>
  <si>
    <t xml:space="preserve">ค่าโฆษณาและประชาสัมพันธ์ </t>
  </si>
  <si>
    <t>ค่าของใช้สิ้นเปลืองต่าง ๆ</t>
  </si>
  <si>
    <t>รวมต้นทุนคงที่</t>
  </si>
  <si>
    <t>ต้นทุนผันแปร</t>
  </si>
  <si>
    <t xml:space="preserve">ต้นทุนขาย </t>
  </si>
  <si>
    <t>ค่าใช้จ่ายเบ็ดเตล็ด</t>
  </si>
  <si>
    <t>ส่งเสริมการขาย</t>
  </si>
  <si>
    <t>รวมต้นทุนผันแปร</t>
  </si>
  <si>
    <t>การคำนวณจุดคุ้มทุน =  ต้นทุนคงที่ / อัตรากำไรส่วนเกิน</t>
  </si>
  <si>
    <t>กำไรส่วนเกิน =  ยอดขาย - ต้นทุนผันแปร</t>
  </si>
  <si>
    <t>อัตรากำไรส่วนเกิน = กำไรส่วนเกิน / ยอดขาย</t>
  </si>
  <si>
    <t>การคำนวณจุดคุ้มทุน</t>
  </si>
  <si>
    <t>กำไรส่วนเกิน</t>
  </si>
  <si>
    <t>อัตรากำไรส่วนเกิน</t>
  </si>
  <si>
    <t>จุดคุ้มทุนต่อปี</t>
  </si>
  <si>
    <t>จุดคุ้มทุนต่อเดือน</t>
  </si>
  <si>
    <t>จุดคุ้มทุนต่อวัน</t>
  </si>
  <si>
    <t xml:space="preserve"> อัตราดอกเบี้ย</t>
  </si>
  <si>
    <t>ต่อปี</t>
  </si>
  <si>
    <t>ระยะเวลาชำระหนี้</t>
  </si>
  <si>
    <t>ชำระเงินต้นเท่ากันทุกปี</t>
  </si>
  <si>
    <t>เงินกู้สถาบันคงเหลือ</t>
  </si>
  <si>
    <t xml:space="preserve">ดอกเบี้ยจ่าย </t>
  </si>
  <si>
    <t>งบกำไรขาดทุน ประมาณการกรณีสถานการณ์ปกติ</t>
  </si>
  <si>
    <t>หัก ต้นทุนผันแปร</t>
  </si>
  <si>
    <t>หัก ต้นทุนคงที่</t>
  </si>
  <si>
    <t>กำไรก่อนการดำเนินงาน</t>
  </si>
  <si>
    <t xml:space="preserve">หัก ดอกเบี้ยจ่าย </t>
  </si>
  <si>
    <t>กำไรก่อนหักภาษี</t>
  </si>
  <si>
    <t>หัก ภาษีเงินได้</t>
  </si>
  <si>
    <t>นโยบายจ่ายเงินปันผล</t>
  </si>
  <si>
    <t>กิจการมีนโยบายจ่ายเงินปันผลในอัตราร้อยละ</t>
  </si>
  <si>
    <t>ของกำไรสุทธิ</t>
  </si>
  <si>
    <t>อัตราภาษีเงินได้</t>
  </si>
  <si>
    <t>Copyright © 2016 bit.ly/bu-siriwan</t>
  </si>
  <si>
    <t xml:space="preserve">กำไรสะสม ประมาณการจากสถานการณ์ปกติ </t>
  </si>
  <si>
    <t>ยกยอดไปงบดุล</t>
  </si>
  <si>
    <t>กำไรสะสมต้นปี</t>
  </si>
  <si>
    <t>บวก กำไรสุทธิ</t>
  </si>
  <si>
    <t xml:space="preserve">หัก เงินปันผล </t>
  </si>
  <si>
    <t>กำไรสะสมปลายงวด</t>
  </si>
  <si>
    <t>ยกยอดไปงบกระแสเงินสด</t>
  </si>
  <si>
    <t>ภาษีเงินได้</t>
  </si>
  <si>
    <t>ภาษีเงินได้ค้างจ่ายที่เพิ่มขึ้น</t>
  </si>
  <si>
    <t>สินค้าคงเหลือที่เพิ่มขึ้น</t>
  </si>
  <si>
    <t>เงินปันผล</t>
  </si>
  <si>
    <t>เงินปันผลค้างจ่ายที่เพิ่มขึ้น</t>
  </si>
  <si>
    <t>งบกระแสเงินสด ประมาณการจากสถานการณ์ปกติ</t>
  </si>
  <si>
    <t>กระแสเงินสดจากกิจกรรมการดำเนินงาน</t>
  </si>
  <si>
    <t>บวก ค่าเสื่อมราคา</t>
  </si>
  <si>
    <t>บวก ค่าใช้จ่ายตัดจ่าย</t>
  </si>
  <si>
    <t>บวก ดอกเบี้ยจ่าย</t>
  </si>
  <si>
    <t>บวก ภาษีเงินได้ค้างจ่ายที่เพิ่มขึ้น</t>
  </si>
  <si>
    <t>บวก เงินปันผลค้างจ่ายที่เพิ่มขึ้น</t>
  </si>
  <si>
    <t>หัก สินค้าคงเหลือที่เพิ่มขึ้น</t>
  </si>
  <si>
    <t>เงินสดจากกิจกรรมการดำเนินงาน</t>
  </si>
  <si>
    <t>กระแสเงินสดจากกิจกรรมการลงทุน</t>
  </si>
  <si>
    <t>กระแสเงินสดจากการลงทุน</t>
  </si>
  <si>
    <t>กระแสเงินสดจากการจัดหา</t>
  </si>
  <si>
    <t>กู้จากสถาบันการเงิน</t>
  </si>
  <si>
    <t>หัก ชำระเงินกู้</t>
  </si>
  <si>
    <t>หัก ชำระดอกเบี้ยเงินกู้</t>
  </si>
  <si>
    <t>หัก เงินปันผลจ่าย</t>
  </si>
  <si>
    <t>ทุนหุ้นสามัญ</t>
  </si>
  <si>
    <t>กระแสเงินสดจากกิจกรรมการจัดหา</t>
  </si>
  <si>
    <t>เงินสดสุทธิ</t>
  </si>
  <si>
    <t>บวก เงินสดต้นงวด</t>
  </si>
  <si>
    <t>เงินสดปลายงวด</t>
  </si>
  <si>
    <t>งบฐานะการเงิน ประมาณการจากสถานการณ์ปกติ</t>
  </si>
  <si>
    <t>สินทรัพย์</t>
  </si>
  <si>
    <t>สินทรัพย์หมุนเวียน</t>
  </si>
  <si>
    <t>เงินสดและเงินฝากธนาคาร</t>
  </si>
  <si>
    <t>รวมสินทรัพย์หมุนเวียน</t>
  </si>
  <si>
    <t>ค่าจดทะเบียนและตกแต่งสุทธิ</t>
  </si>
  <si>
    <t>รวมสินทรัพย์</t>
  </si>
  <si>
    <t>หนี้สินและส่วนของเจ้าของ</t>
  </si>
  <si>
    <t>ภาษีเงินได้ค้างจ่าย</t>
  </si>
  <si>
    <t>เงินปันผลค้างจ่าย</t>
  </si>
  <si>
    <t>หนี้สินระยะสั้น</t>
  </si>
  <si>
    <t>เงินกู้สถาบันการคงเหลือ</t>
  </si>
  <si>
    <t>รวมหนี้สิน</t>
  </si>
  <si>
    <t>ทุนเรือนหุ้นสามัญ</t>
  </si>
  <si>
    <t>กำไรสะสมสุทธิ</t>
  </si>
  <si>
    <t>รวมส่วนของผู้ถือหุ้น</t>
  </si>
  <si>
    <t>รวมหนี้สินและส่วนของเจ้าของ</t>
  </si>
  <si>
    <t>การวิเคราะห์โครงการลงทุน</t>
  </si>
  <si>
    <t>ปีที่</t>
  </si>
  <si>
    <t>กระแสเงินตลอดโครงการ</t>
  </si>
  <si>
    <t>กระแสเงินสด</t>
  </si>
  <si>
    <t>กระแสเงินสดจ่าย ณ วันลงทุน</t>
  </si>
  <si>
    <t>กระแสเงินสดรับ</t>
  </si>
  <si>
    <t>กระแสเงินสดรับ*</t>
  </si>
  <si>
    <t>การคำนวณมูลค่าปัจจุบันในอัตราผลคิดลด</t>
  </si>
  <si>
    <t>มูลค่าปัจจุบันของกระแสเงินสดรับ</t>
  </si>
  <si>
    <t>หัก มูลค่าปัจจุบันของกระแสเงินสดจ่าย</t>
  </si>
  <si>
    <t>มูลค่าปัจจุบันสุทธิ (NPV)</t>
  </si>
  <si>
    <t>อัตราผลตอบแทนของโครงการ</t>
  </si>
  <si>
    <t>*กระเงินสดรับในปีที่ 5 = เงินสดสุทธิจากงบกระแสเงินสด+เงินทุนหมุนเวียน+เงินมัดจำร้าน</t>
  </si>
  <si>
    <t>การวิเคราะห์อัตราส่วนทางการเงิน</t>
  </si>
  <si>
    <t>รายการการวิเคราะห์</t>
  </si>
  <si>
    <t>การวัดสภาพคล่องทางการเงิน</t>
  </si>
  <si>
    <t xml:space="preserve">   อัตราส่วนเงินทุนหมุนเวียน (เท่า)</t>
  </si>
  <si>
    <t xml:space="preserve">   อัตราส่วนสินทรัพย์คล่องตัว (เท่า)</t>
  </si>
  <si>
    <t>การวัดประสิทธิภาพการใช้ทรัพย์สิน</t>
  </si>
  <si>
    <t xml:space="preserve">   อัตราการหมุนเวียนของสินค้า (รอบ)</t>
  </si>
  <si>
    <t xml:space="preserve">   ระยะเวลาสินค้าคงเหลือ (วัน)</t>
  </si>
  <si>
    <t xml:space="preserve">   อัตราการหมุนสินทรัพย์ไม่หมุนเวียน (รอบ)</t>
  </si>
  <si>
    <t xml:space="preserve">   อัตราการหมุนของสินทรัพย์รวม (รอบ) </t>
  </si>
  <si>
    <t>การวัดความสามารถในการชำระหนี้</t>
  </si>
  <si>
    <t xml:space="preserve">   อัตราแห่งหนี้ (Debt to Equity Ratio) (เท่า)</t>
  </si>
  <si>
    <t xml:space="preserve">   อัตราส่วนความสามารถในการชำระดอกเบี้ย(เท่า)</t>
  </si>
  <si>
    <t>การวัดความสามารถในการบริหาร</t>
  </si>
  <si>
    <t xml:space="preserve">   อัตราส่วนผลตอบแทนต่อสินทรัพย์ (ROA)</t>
  </si>
  <si>
    <t xml:space="preserve">   อัตราส่วนผลตอบแทนต่อผู้ถือหุ้น (ROE)</t>
  </si>
  <si>
    <t xml:space="preserve">   อัตราส่วนกำไรส่วนเกิน (%)</t>
  </si>
  <si>
    <t xml:space="preserve">   อัตราส่วนกำไรจากการดำเนินงาน (%)</t>
  </si>
  <si>
    <t xml:space="preserve">   อัตราส่วนกำไรสุทธิ (%)</t>
  </si>
  <si>
    <t>ข้อมูลทางการเงินจากการลงทุน</t>
  </si>
  <si>
    <t xml:space="preserve">   มูลค่าปัจจุบันสุทธิ (Net Present Vaule)</t>
  </si>
  <si>
    <t xml:space="preserve">   อัตราผลตอบแทนภายใน (IRR)</t>
  </si>
  <si>
    <t xml:space="preserve">   ระยะเวลาคืนทุน  (ปี)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</si>
</sst>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* #,##0.00_-;\-* #,##0.00_-;_-* &quot;-&quot;??_-;_-@_-"/>
    <numFmt numFmtId="165" formatCode="_-* #,##0_-;\-* #,##0_-;_-* &quot;-&quot;??_-;_-@_-"/>
    <numFmt numFmtId="166" formatCode="_-* #,##0.00_-;\-* #,##0.00_-;_-* &quot;-&quot;??_-;_-@"/>
    <numFmt numFmtId="167" formatCode="_-* #,##0_-;\-* #,##0_-;_-* &quot;-&quot;??_-;_-@"/>
    <numFmt numFmtId="168" formatCode="_-* #,##0.0_-;\-* #,##0.0_-;_-* &quot;-&quot;?_-;_-@"/>
    <numFmt numFmtId="169" formatCode="0.0%"/>
    <numFmt numFmtId="170" formatCode="[&lt;=9999999][$-D000000]###\-####;[$-D000000]\(0#\)\ ###\-####"/>
    <numFmt numFmtId="171" formatCode="&quot;฿&quot;#,##0.00;[Red]\-&quot;฿&quot;#,##0.00"/>
    <numFmt numFmtId="172" formatCode="0.000"/>
    <numFmt numFmtId="173" formatCode="_-* #,##0.0_-;\-* #,##0.0_-;_-* &quot;-&quot;?_-;_-@_-"/>
    <numFmt numFmtId="174" formatCode="0.000000000"/>
    <numFmt numFmtId="175" formatCode="_-* #,##0.0000_-;\-* #,##0.0000_-;_-* &quot;-&quot;??_-;_-@_-"/>
    <numFmt numFmtId="176" formatCode="#,##0.00;[Red]#,##0.00"/>
    <numFmt numFmtId="177" formatCode="0.00;[Red]0.00"/>
    <numFmt numFmtId="178" formatCode="_-* #,##0.00000_-;\-* #,##0.00000_-;_-* &quot;-&quot;??_-;_-@_-"/>
    <numFmt numFmtId="179" formatCode="_-* #,##0.0000_-;\-* #,##0.0000_-;_-* &quot;-&quot;????_-;_-@_-"/>
  </numFmts>
  <fonts count="33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1"/>
      <color rgb="FF9C5700"/>
      <name val="Tahoma"/>
      <family val="2"/>
      <scheme val="minor"/>
    </font>
    <font>
      <b/>
      <sz val="16"/>
      <name val="TH SarabunPSK"/>
      <family val="2"/>
      <charset val="222"/>
    </font>
    <font>
      <b/>
      <u/>
      <sz val="16"/>
      <color rgb="FF0000FF"/>
      <name val="TH SarabunPSK"/>
      <family val="2"/>
      <charset val="222"/>
    </font>
    <font>
      <sz val="16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10"/>
      <name val="TH SarabunPSK"/>
      <family val="2"/>
      <charset val="222"/>
    </font>
    <font>
      <b/>
      <sz val="16"/>
      <color rgb="FF0000D4"/>
      <name val="TH SarabunPSK"/>
      <family val="2"/>
      <charset val="222"/>
    </font>
    <font>
      <sz val="16"/>
      <color rgb="FF0000D4"/>
      <name val="TH SarabunPSK"/>
      <family val="2"/>
      <charset val="222"/>
    </font>
    <font>
      <sz val="16"/>
      <color rgb="FF000000"/>
      <name val="TH SarabunPSK"/>
      <family val="2"/>
      <charset val="222"/>
    </font>
    <font>
      <sz val="16"/>
      <color rgb="FFDD0806"/>
      <name val="TH SarabunPSK"/>
      <family val="2"/>
      <charset val="222"/>
    </font>
    <font>
      <sz val="20"/>
      <color theme="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0"/>
      <color rgb="FF000000"/>
      <name val="TH SarabunPSK"/>
      <family val="2"/>
      <charset val="222"/>
    </font>
    <font>
      <b/>
      <u/>
      <sz val="16"/>
      <name val="TH SarabunPSK"/>
      <family val="2"/>
      <charset val="222"/>
    </font>
    <font>
      <b/>
      <sz val="20"/>
      <name val="TH SarabunPSK"/>
      <family val="2"/>
      <charset val="222"/>
    </font>
    <font>
      <sz val="20"/>
      <name val="TH SarabunPSK"/>
      <family val="2"/>
      <charset val="222"/>
    </font>
    <font>
      <b/>
      <sz val="18"/>
      <name val="TH SarabunPSK"/>
      <family val="2"/>
      <charset val="222"/>
    </font>
    <font>
      <sz val="18"/>
      <color rgb="FFFFFFFF"/>
      <name val="TH SarabunPSK"/>
      <family val="2"/>
      <charset val="222"/>
    </font>
    <font>
      <sz val="16"/>
      <color rgb="FFFFFFFF"/>
      <name val="TH SarabunPSK"/>
      <family val="2"/>
      <charset val="222"/>
    </font>
    <font>
      <sz val="10"/>
      <color rgb="FF000000"/>
      <name val="Arial"/>
      <family val="2"/>
    </font>
    <font>
      <b/>
      <sz val="16"/>
      <color rgb="FFDD0806"/>
      <name val="TH SarabunPSK"/>
      <family val="2"/>
      <charset val="222"/>
    </font>
    <font>
      <b/>
      <sz val="16"/>
      <color rgb="FFFFFFFF"/>
      <name val="TH SarabunPSK"/>
      <family val="2"/>
      <charset val="222"/>
    </font>
    <font>
      <sz val="8"/>
      <color rgb="FFFFFFFF"/>
      <name val="TH SarabunPSK"/>
      <family val="2"/>
      <charset val="222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rgb="FFFA7D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4"/>
      <color theme="1"/>
      <name val="Tahoma"/>
      <family val="2"/>
      <scheme val="minor"/>
    </font>
    <font>
      <b/>
      <sz val="11"/>
      <color theme="0"/>
      <name val="Tahoma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</patternFill>
    </fill>
    <fill>
      <patternFill patternType="solid">
        <fgColor rgb="FFCCFFCC"/>
        <bgColor rgb="FFCCFFCC"/>
      </patternFill>
    </fill>
    <fill>
      <patternFill patternType="solid">
        <fgColor rgb="FFFCF305"/>
        <bgColor rgb="FFFCF305"/>
      </patternFill>
    </fill>
    <fill>
      <patternFill patternType="solid">
        <fgColor rgb="FFDD0806"/>
        <bgColor rgb="FFDD0806"/>
      </patternFill>
    </fill>
    <fill>
      <patternFill patternType="solid">
        <fgColor rgb="FFCFFDE4"/>
        <bgColor rgb="FFCCFFCC"/>
      </patternFill>
    </fill>
    <fill>
      <patternFill patternType="solid">
        <fgColor rgb="FFFFFF00"/>
        <bgColor rgb="FFFCF305"/>
      </patternFill>
    </fill>
    <fill>
      <patternFill patternType="solid">
        <fgColor rgb="FFFFFF00"/>
        <bgColor indexed="64"/>
      </patternFill>
    </fill>
    <fill>
      <patternFill patternType="solid">
        <fgColor rgb="FFCFFD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99"/>
      </patternFill>
    </fill>
    <fill>
      <patternFill patternType="solid">
        <fgColor theme="0"/>
        <bgColor rgb="FFCCFFCC"/>
      </patternFill>
    </fill>
    <fill>
      <patternFill patternType="solid">
        <fgColor theme="0"/>
        <bgColor rgb="FFFCF305"/>
      </patternFill>
    </fill>
    <fill>
      <patternFill patternType="solid">
        <fgColor rgb="FFFF99CC"/>
        <bgColor rgb="FFFF99CC"/>
      </patternFill>
    </fill>
    <fill>
      <patternFill patternType="solid">
        <fgColor rgb="FFCFFDE4"/>
        <bgColor rgb="FF1FB714"/>
      </patternFill>
    </fill>
    <fill>
      <patternFill patternType="solid">
        <fgColor rgb="FFCFFDE4"/>
        <bgColor rgb="FFFCF305"/>
      </patternFill>
    </fill>
    <fill>
      <patternFill patternType="solid">
        <fgColor rgb="FFFFFF99"/>
        <bgColor rgb="FFFFFF99"/>
      </patternFill>
    </fill>
    <fill>
      <patternFill patternType="solid">
        <fgColor rgb="FF1FB714"/>
        <bgColor rgb="FF1FB714"/>
      </patternFill>
    </fill>
    <fill>
      <patternFill patternType="solid">
        <fgColor rgb="FF74F8B0"/>
        <bgColor rgb="FF1FB714"/>
      </patternFill>
    </fill>
    <fill>
      <patternFill patternType="solid">
        <fgColor rgb="FFFFCC99"/>
        <bgColor rgb="FFFFCC9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4" borderId="0" applyNumberFormat="0" applyBorder="0" applyAlignment="0" applyProtection="0"/>
    <xf numFmtId="0" fontId="27" fillId="25" borderId="12" applyNumberFormat="0" applyAlignment="0" applyProtection="0"/>
    <xf numFmtId="0" fontId="28" fillId="0" borderId="13" applyNumberFormat="0" applyFill="0" applyAlignment="0" applyProtection="0"/>
    <xf numFmtId="0" fontId="29" fillId="26" borderId="12" applyNumberFormat="0" applyAlignment="0" applyProtection="0"/>
    <xf numFmtId="0" fontId="30" fillId="0" borderId="0" applyNumberFormat="0" applyFill="0" applyBorder="0" applyAlignment="0" applyProtection="0"/>
    <xf numFmtId="0" fontId="32" fillId="27" borderId="17" applyNumberFormat="0" applyAlignment="0" applyProtection="0"/>
  </cellStyleXfs>
  <cellXfs count="274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1" applyNumberFormat="1" applyFont="1"/>
    <xf numFmtId="165" fontId="0" fillId="0" borderId="1" xfId="1" applyNumberFormat="1" applyFont="1" applyBorder="1"/>
    <xf numFmtId="9" fontId="0" fillId="0" borderId="0" xfId="2" applyFont="1"/>
    <xf numFmtId="9" fontId="0" fillId="0" borderId="1" xfId="2" applyFont="1" applyBorder="1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165" fontId="0" fillId="3" borderId="0" xfId="0" applyNumberFormat="1" applyFill="1"/>
    <xf numFmtId="0" fontId="5" fillId="0" borderId="0" xfId="0" applyFont="1"/>
    <xf numFmtId="0" fontId="5" fillId="5" borderId="0" xfId="0" applyFont="1" applyFill="1"/>
    <xf numFmtId="0" fontId="5" fillId="6" borderId="0" xfId="0" applyFont="1" applyFill="1"/>
    <xf numFmtId="0" fontId="5" fillId="7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6" borderId="0" xfId="0" applyFont="1" applyFill="1" applyProtection="1">
      <protection locked="0"/>
    </xf>
    <xf numFmtId="0" fontId="7" fillId="0" borderId="0" xfId="0" applyFont="1" applyProtection="1">
      <protection locked="0"/>
    </xf>
    <xf numFmtId="166" fontId="5" fillId="0" borderId="7" xfId="0" applyNumberFormat="1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10" fillId="0" borderId="7" xfId="0" applyFont="1" applyBorder="1" applyProtection="1">
      <protection locked="0"/>
    </xf>
    <xf numFmtId="166" fontId="10" fillId="0" borderId="7" xfId="0" applyNumberFormat="1" applyFont="1" applyBorder="1" applyProtection="1">
      <protection locked="0"/>
    </xf>
    <xf numFmtId="166" fontId="7" fillId="0" borderId="7" xfId="0" applyNumberFormat="1" applyFont="1" applyBorder="1" applyProtection="1">
      <protection locked="0"/>
    </xf>
    <xf numFmtId="0" fontId="7" fillId="0" borderId="7" xfId="0" applyFont="1" applyBorder="1" applyProtection="1">
      <protection locked="0"/>
    </xf>
    <xf numFmtId="166" fontId="7" fillId="8" borderId="7" xfId="0" applyNumberFormat="1" applyFont="1" applyFill="1" applyBorder="1" applyProtection="1">
      <protection locked="0"/>
    </xf>
    <xf numFmtId="0" fontId="7" fillId="9" borderId="7" xfId="0" applyFont="1" applyFill="1" applyBorder="1" applyProtection="1">
      <protection locked="0"/>
    </xf>
    <xf numFmtId="166" fontId="5" fillId="0" borderId="7" xfId="0" applyNumberFormat="1" applyFont="1" applyBorder="1" applyProtection="1">
      <protection locked="0"/>
    </xf>
    <xf numFmtId="0" fontId="7" fillId="10" borderId="7" xfId="0" applyFont="1" applyFill="1" applyBorder="1" applyProtection="1">
      <protection locked="0"/>
    </xf>
    <xf numFmtId="166" fontId="7" fillId="10" borderId="7" xfId="0" applyNumberFormat="1" applyFont="1" applyFill="1" applyBorder="1" applyProtection="1">
      <protection locked="0"/>
    </xf>
    <xf numFmtId="167" fontId="7" fillId="8" borderId="7" xfId="0" applyNumberFormat="1" applyFont="1" applyFill="1" applyBorder="1" applyProtection="1">
      <protection locked="0"/>
    </xf>
    <xf numFmtId="0" fontId="10" fillId="9" borderId="3" xfId="0" applyFont="1" applyFill="1" applyBorder="1" applyAlignment="1" applyProtection="1">
      <alignment horizontal="left"/>
      <protection locked="0"/>
    </xf>
    <xf numFmtId="166" fontId="11" fillId="9" borderId="3" xfId="0" applyNumberFormat="1" applyFont="1" applyFill="1" applyBorder="1" applyProtection="1">
      <protection locked="0"/>
    </xf>
    <xf numFmtId="166" fontId="7" fillId="9" borderId="3" xfId="0" applyNumberFormat="1" applyFont="1" applyFill="1" applyBorder="1" applyProtection="1">
      <protection locked="0"/>
    </xf>
    <xf numFmtId="0" fontId="7" fillId="0" borderId="8" xfId="0" applyFont="1" applyBorder="1" applyProtection="1">
      <protection locked="0"/>
    </xf>
    <xf numFmtId="166" fontId="7" fillId="0" borderId="8" xfId="0" applyNumberFormat="1" applyFont="1" applyBorder="1" applyProtection="1">
      <protection locked="0"/>
    </xf>
    <xf numFmtId="0" fontId="12" fillId="0" borderId="0" xfId="0" applyFont="1" applyProtection="1">
      <protection locked="0"/>
    </xf>
    <xf numFmtId="167" fontId="7" fillId="9" borderId="7" xfId="0" applyNumberFormat="1" applyFont="1" applyFill="1" applyBorder="1" applyAlignment="1" applyProtection="1">
      <alignment horizontal="center"/>
      <protection locked="0"/>
    </xf>
    <xf numFmtId="167" fontId="7" fillId="9" borderId="7" xfId="0" applyNumberFormat="1" applyFont="1" applyFill="1" applyBorder="1" applyProtection="1">
      <protection locked="0"/>
    </xf>
    <xf numFmtId="167" fontId="7" fillId="0" borderId="7" xfId="0" applyNumberFormat="1" applyFont="1" applyBorder="1" applyProtection="1">
      <protection locked="0"/>
    </xf>
    <xf numFmtId="0" fontId="13" fillId="0" borderId="0" xfId="0" applyFont="1" applyProtection="1">
      <protection locked="0"/>
    </xf>
    <xf numFmtId="167" fontId="7" fillId="0" borderId="0" xfId="0" applyNumberFormat="1" applyFont="1" applyProtection="1">
      <protection locked="0"/>
    </xf>
    <xf numFmtId="167" fontId="7" fillId="0" borderId="7" xfId="0" applyNumberFormat="1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7" fillId="6" borderId="7" xfId="0" applyFont="1" applyFill="1" applyBorder="1" applyProtection="1">
      <protection locked="0"/>
    </xf>
    <xf numFmtId="167" fontId="7" fillId="6" borderId="7" xfId="0" applyNumberFormat="1" applyFont="1" applyFill="1" applyBorder="1" applyProtection="1">
      <protection locked="0"/>
    </xf>
    <xf numFmtId="0" fontId="5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10" borderId="4" xfId="0" applyFont="1" applyFill="1" applyBorder="1" applyProtection="1">
      <protection locked="0"/>
    </xf>
    <xf numFmtId="167" fontId="7" fillId="10" borderId="1" xfId="0" applyNumberFormat="1" applyFont="1" applyFill="1" applyBorder="1" applyAlignment="1" applyProtection="1">
      <alignment horizontal="center"/>
      <protection locked="0"/>
    </xf>
    <xf numFmtId="167" fontId="7" fillId="11" borderId="6" xfId="0" applyNumberFormat="1" applyFont="1" applyFill="1" applyBorder="1" applyProtection="1">
      <protection locked="0"/>
    </xf>
    <xf numFmtId="167" fontId="7" fillId="0" borderId="6" xfId="0" applyNumberFormat="1" applyFont="1" applyBorder="1" applyProtection="1">
      <protection locked="0"/>
    </xf>
    <xf numFmtId="167" fontId="7" fillId="12" borderId="7" xfId="0" applyNumberFormat="1" applyFont="1" applyFill="1" applyBorder="1" applyProtection="1">
      <protection locked="0"/>
    </xf>
    <xf numFmtId="167" fontId="7" fillId="10" borderId="7" xfId="0" applyNumberFormat="1" applyFont="1" applyFill="1" applyBorder="1" applyProtection="1">
      <protection locked="0"/>
    </xf>
    <xf numFmtId="9" fontId="7" fillId="11" borderId="0" xfId="0" applyNumberFormat="1" applyFont="1" applyFill="1" applyProtection="1">
      <protection locked="0"/>
    </xf>
    <xf numFmtId="167" fontId="7" fillId="10" borderId="7" xfId="0" applyNumberFormat="1" applyFont="1" applyFill="1" applyBorder="1" applyAlignment="1" applyProtection="1">
      <alignment horizontal="center"/>
      <protection locked="0"/>
    </xf>
    <xf numFmtId="167" fontId="7" fillId="11" borderId="7" xfId="0" applyNumberFormat="1" applyFont="1" applyFill="1" applyBorder="1" applyProtection="1">
      <protection locked="0"/>
    </xf>
    <xf numFmtId="0" fontId="7" fillId="13" borderId="7" xfId="0" applyFont="1" applyFill="1" applyBorder="1" applyProtection="1">
      <protection locked="0"/>
    </xf>
    <xf numFmtId="167" fontId="7" fillId="13" borderId="7" xfId="0" applyNumberFormat="1" applyFont="1" applyFill="1" applyBorder="1" applyAlignment="1" applyProtection="1">
      <alignment horizontal="center"/>
      <protection locked="0"/>
    </xf>
    <xf numFmtId="0" fontId="7" fillId="13" borderId="1" xfId="0" applyFont="1" applyFill="1" applyBorder="1" applyProtection="1">
      <protection locked="0"/>
    </xf>
    <xf numFmtId="167" fontId="7" fillId="13" borderId="1" xfId="0" applyNumberFormat="1" applyFont="1" applyFill="1" applyBorder="1" applyProtection="1">
      <protection locked="0"/>
    </xf>
    <xf numFmtId="0" fontId="5" fillId="9" borderId="7" xfId="0" applyFont="1" applyFill="1" applyBorder="1" applyProtection="1">
      <protection locked="0"/>
    </xf>
    <xf numFmtId="0" fontId="7" fillId="14" borderId="0" xfId="0" applyFont="1" applyFill="1" applyProtection="1">
      <protection locked="0"/>
    </xf>
    <xf numFmtId="167" fontId="7" fillId="14" borderId="0" xfId="0" applyNumberFormat="1" applyFont="1" applyFill="1" applyProtection="1">
      <protection locked="0"/>
    </xf>
    <xf numFmtId="9" fontId="7" fillId="8" borderId="0" xfId="0" applyNumberFormat="1" applyFont="1" applyFill="1" applyProtection="1">
      <protection locked="0"/>
    </xf>
    <xf numFmtId="167" fontId="7" fillId="8" borderId="0" xfId="0" applyNumberFormat="1" applyFont="1" applyFill="1" applyProtection="1">
      <protection locked="0"/>
    </xf>
    <xf numFmtId="1" fontId="7" fillId="8" borderId="0" xfId="0" applyNumberFormat="1" applyFont="1" applyFill="1" applyProtection="1">
      <protection locked="0"/>
    </xf>
    <xf numFmtId="167" fontId="7" fillId="0" borderId="7" xfId="0" applyNumberFormat="1" applyFont="1" applyBorder="1" applyAlignment="1" applyProtection="1">
      <alignment horizontal="left" vertical="center"/>
      <protection locked="0"/>
    </xf>
    <xf numFmtId="167" fontId="7" fillId="0" borderId="7" xfId="0" applyNumberFormat="1" applyFont="1" applyBorder="1" applyAlignment="1" applyProtection="1">
      <alignment horizontal="left"/>
      <protection locked="0"/>
    </xf>
    <xf numFmtId="0" fontId="7" fillId="14" borderId="7" xfId="0" applyFont="1" applyFill="1" applyBorder="1" applyProtection="1">
      <protection locked="0"/>
    </xf>
    <xf numFmtId="167" fontId="7" fillId="14" borderId="7" xfId="0" applyNumberFormat="1" applyFont="1" applyFill="1" applyBorder="1" applyProtection="1">
      <protection locked="0"/>
    </xf>
    <xf numFmtId="9" fontId="7" fillId="5" borderId="0" xfId="0" applyNumberFormat="1" applyFont="1" applyFill="1" applyProtection="1">
      <protection locked="0"/>
    </xf>
    <xf numFmtId="0" fontId="7" fillId="15" borderId="7" xfId="0" applyFont="1" applyFill="1" applyBorder="1" applyProtection="1">
      <protection locked="0"/>
    </xf>
    <xf numFmtId="167" fontId="7" fillId="15" borderId="7" xfId="0" applyNumberFormat="1" applyFont="1" applyFill="1" applyBorder="1" applyAlignment="1" applyProtection="1">
      <alignment horizontal="center"/>
      <protection locked="0"/>
    </xf>
    <xf numFmtId="9" fontId="7" fillId="14" borderId="7" xfId="0" applyNumberFormat="1" applyFont="1" applyFill="1" applyBorder="1" applyProtection="1">
      <protection locked="0"/>
    </xf>
    <xf numFmtId="167" fontId="7" fillId="15" borderId="7" xfId="0" applyNumberFormat="1" applyFont="1" applyFill="1" applyBorder="1" applyProtection="1">
      <protection locked="0"/>
    </xf>
    <xf numFmtId="0" fontId="5" fillId="9" borderId="7" xfId="0" applyFont="1" applyFill="1" applyBorder="1" applyAlignment="1" applyProtection="1">
      <alignment horizontal="center"/>
      <protection locked="0"/>
    </xf>
    <xf numFmtId="0" fontId="5" fillId="16" borderId="7" xfId="0" applyFont="1" applyFill="1" applyBorder="1" applyProtection="1">
      <protection locked="0"/>
    </xf>
    <xf numFmtId="167" fontId="5" fillId="8" borderId="7" xfId="0" applyNumberFormat="1" applyFont="1" applyFill="1" applyBorder="1" applyProtection="1">
      <protection locked="0"/>
    </xf>
    <xf numFmtId="0" fontId="5" fillId="0" borderId="7" xfId="0" applyFont="1" applyBorder="1"/>
    <xf numFmtId="167" fontId="5" fillId="0" borderId="7" xfId="0" applyNumberFormat="1" applyFont="1" applyBorder="1"/>
    <xf numFmtId="167" fontId="5" fillId="9" borderId="7" xfId="0" applyNumberFormat="1" applyFont="1" applyFill="1" applyBorder="1" applyProtection="1">
      <protection locked="0"/>
    </xf>
    <xf numFmtId="9" fontId="5" fillId="0" borderId="0" xfId="0" applyNumberFormat="1" applyFont="1" applyProtection="1">
      <protection locked="0"/>
    </xf>
    <xf numFmtId="167" fontId="5" fillId="17" borderId="0" xfId="0" applyNumberFormat="1" applyFont="1" applyFill="1" applyProtection="1">
      <protection locked="0"/>
    </xf>
    <xf numFmtId="167" fontId="5" fillId="0" borderId="0" xfId="0" applyNumberFormat="1" applyFont="1" applyProtection="1">
      <protection locked="0"/>
    </xf>
    <xf numFmtId="0" fontId="5" fillId="18" borderId="7" xfId="0" applyFont="1" applyFill="1" applyBorder="1" applyProtection="1">
      <protection locked="0"/>
    </xf>
    <xf numFmtId="167" fontId="5" fillId="18" borderId="7" xfId="0" applyNumberFormat="1" applyFont="1" applyFill="1" applyBorder="1" applyProtection="1">
      <protection locked="0"/>
    </xf>
    <xf numFmtId="168" fontId="5" fillId="0" borderId="0" xfId="0" applyNumberFormat="1" applyFont="1" applyProtection="1">
      <protection locked="0"/>
    </xf>
    <xf numFmtId="167" fontId="5" fillId="9" borderId="7" xfId="0" applyNumberFormat="1" applyFont="1" applyFill="1" applyBorder="1" applyAlignment="1" applyProtection="1">
      <alignment horizontal="center"/>
      <protection locked="0"/>
    </xf>
    <xf numFmtId="0" fontId="5" fillId="14" borderId="7" xfId="0" applyFont="1" applyFill="1" applyBorder="1" applyProtection="1">
      <protection locked="0"/>
    </xf>
    <xf numFmtId="167" fontId="5" fillId="14" borderId="7" xfId="0" applyNumberFormat="1" applyFont="1" applyFill="1" applyBorder="1" applyProtection="1">
      <protection locked="0"/>
    </xf>
    <xf numFmtId="0" fontId="5" fillId="19" borderId="7" xfId="0" applyFont="1" applyFill="1" applyBorder="1" applyProtection="1">
      <protection locked="0"/>
    </xf>
    <xf numFmtId="167" fontId="5" fillId="19" borderId="7" xfId="0" applyNumberFormat="1" applyFont="1" applyFill="1" applyBorder="1" applyProtection="1">
      <protection locked="0"/>
    </xf>
    <xf numFmtId="0" fontId="5" fillId="0" borderId="7" xfId="0" applyFont="1" applyBorder="1" applyProtection="1">
      <protection locked="0"/>
    </xf>
    <xf numFmtId="167" fontId="5" fillId="0" borderId="7" xfId="0" applyNumberFormat="1" applyFont="1" applyBorder="1" applyProtection="1">
      <protection locked="0"/>
    </xf>
    <xf numFmtId="0" fontId="5" fillId="6" borderId="7" xfId="0" applyFont="1" applyFill="1" applyBorder="1" applyProtection="1">
      <protection locked="0"/>
    </xf>
    <xf numFmtId="167" fontId="5" fillId="6" borderId="7" xfId="0" applyNumberFormat="1" applyFont="1" applyFill="1" applyBorder="1" applyProtection="1">
      <protection locked="0"/>
    </xf>
    <xf numFmtId="0" fontId="5" fillId="17" borderId="0" xfId="0" applyFont="1" applyFill="1" applyProtection="1">
      <protection locked="0"/>
    </xf>
    <xf numFmtId="169" fontId="5" fillId="20" borderId="0" xfId="0" applyNumberFormat="1" applyFont="1" applyFill="1" applyProtection="1">
      <protection locked="0"/>
    </xf>
    <xf numFmtId="166" fontId="5" fillId="0" borderId="0" xfId="0" applyNumberFormat="1" applyFont="1" applyProtection="1">
      <protection locked="0"/>
    </xf>
    <xf numFmtId="9" fontId="5" fillId="17" borderId="0" xfId="0" applyNumberFormat="1" applyFont="1" applyFill="1" applyProtection="1">
      <protection locked="0"/>
    </xf>
    <xf numFmtId="0" fontId="5" fillId="21" borderId="0" xfId="0" applyFont="1" applyFill="1" applyProtection="1">
      <protection locked="0"/>
    </xf>
    <xf numFmtId="166" fontId="5" fillId="21" borderId="0" xfId="0" applyNumberFormat="1" applyFont="1" applyFill="1" applyProtection="1">
      <protection locked="0"/>
    </xf>
    <xf numFmtId="166" fontId="5" fillId="6" borderId="7" xfId="0" applyNumberFormat="1" applyFont="1" applyFill="1" applyBorder="1" applyAlignment="1" applyProtection="1">
      <alignment horizontal="center"/>
      <protection locked="0"/>
    </xf>
    <xf numFmtId="10" fontId="5" fillId="22" borderId="0" xfId="0" applyNumberFormat="1" applyFont="1" applyFill="1" applyProtection="1">
      <protection locked="0"/>
    </xf>
    <xf numFmtId="1" fontId="5" fillId="22" borderId="0" xfId="0" applyNumberFormat="1" applyFont="1" applyFill="1" applyProtection="1">
      <protection locked="0"/>
    </xf>
    <xf numFmtId="167" fontId="5" fillId="0" borderId="7" xfId="0" applyNumberFormat="1" applyFont="1" applyBorder="1" applyAlignment="1" applyProtection="1">
      <alignment horizontal="center"/>
      <protection locked="0"/>
    </xf>
    <xf numFmtId="0" fontId="15" fillId="0" borderId="0" xfId="0" applyFont="1"/>
    <xf numFmtId="0" fontId="5" fillId="14" borderId="0" xfId="0" applyFont="1" applyFill="1" applyProtection="1">
      <protection locked="0"/>
    </xf>
    <xf numFmtId="167" fontId="5" fillId="14" borderId="0" xfId="0" applyNumberFormat="1" applyFont="1" applyFill="1" applyProtection="1">
      <protection locked="0"/>
    </xf>
    <xf numFmtId="10" fontId="5" fillId="23" borderId="0" xfId="0" applyNumberFormat="1" applyFont="1" applyFill="1" applyProtection="1">
      <protection locked="0"/>
    </xf>
    <xf numFmtId="0" fontId="5" fillId="21" borderId="7" xfId="0" applyFont="1" applyFill="1" applyBorder="1" applyProtection="1">
      <protection locked="0"/>
    </xf>
    <xf numFmtId="167" fontId="5" fillId="21" borderId="7" xfId="0" applyNumberFormat="1" applyFont="1" applyFill="1" applyBorder="1" applyAlignment="1" applyProtection="1">
      <alignment horizontal="center"/>
      <protection locked="0"/>
    </xf>
    <xf numFmtId="0" fontId="17" fillId="0" borderId="7" xfId="0" applyFont="1" applyBorder="1" applyProtection="1">
      <protection locked="0"/>
    </xf>
    <xf numFmtId="170" fontId="5" fillId="0" borderId="7" xfId="0" applyNumberFormat="1" applyFont="1" applyBorder="1" applyProtection="1">
      <protection locked="0"/>
    </xf>
    <xf numFmtId="0" fontId="5" fillId="21" borderId="7" xfId="0" applyFont="1" applyFill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5" fillId="6" borderId="3" xfId="0" applyFont="1" applyFill="1" applyBorder="1" applyProtection="1">
      <protection locked="0"/>
    </xf>
    <xf numFmtId="167" fontId="5" fillId="6" borderId="3" xfId="0" applyNumberFormat="1" applyFont="1" applyFill="1" applyBorder="1" applyProtection="1">
      <protection locked="0"/>
    </xf>
    <xf numFmtId="0" fontId="5" fillId="18" borderId="1" xfId="0" applyFont="1" applyFill="1" applyBorder="1" applyProtection="1">
      <protection locked="0"/>
    </xf>
    <xf numFmtId="167" fontId="5" fillId="18" borderId="1" xfId="0" applyNumberFormat="1" applyFont="1" applyFill="1" applyBorder="1" applyProtection="1">
      <protection locked="0"/>
    </xf>
    <xf numFmtId="167" fontId="15" fillId="0" borderId="0" xfId="0" applyNumberFormat="1" applyFont="1" applyAlignment="1" applyProtection="1">
      <alignment horizontal="center"/>
      <protection locked="0"/>
    </xf>
    <xf numFmtId="167" fontId="5" fillId="0" borderId="0" xfId="0" applyNumberFormat="1" applyFont="1" applyAlignment="1" applyProtection="1">
      <alignment horizontal="center"/>
      <protection locked="0"/>
    </xf>
    <xf numFmtId="166" fontId="18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0" fontId="10" fillId="24" borderId="7" xfId="0" applyFont="1" applyFill="1" applyBorder="1" applyAlignment="1" applyProtection="1">
      <alignment horizontal="left"/>
      <protection locked="0"/>
    </xf>
    <xf numFmtId="167" fontId="5" fillId="24" borderId="7" xfId="0" applyNumberFormat="1" applyFont="1" applyFill="1" applyBorder="1" applyProtection="1">
      <protection locked="0"/>
    </xf>
    <xf numFmtId="0" fontId="18" fillId="14" borderId="0" xfId="0" applyFont="1" applyFill="1" applyAlignment="1" applyProtection="1">
      <alignment horizontal="center"/>
      <protection locked="0"/>
    </xf>
    <xf numFmtId="0" fontId="10" fillId="14" borderId="0" xfId="0" applyFont="1" applyFill="1" applyAlignment="1" applyProtection="1">
      <alignment horizontal="left"/>
      <protection locked="0"/>
    </xf>
    <xf numFmtId="0" fontId="19" fillId="5" borderId="0" xfId="0" applyFont="1" applyFill="1" applyAlignment="1" applyProtection="1">
      <alignment horizontal="center"/>
      <protection locked="0"/>
    </xf>
    <xf numFmtId="0" fontId="5" fillId="5" borderId="0" xfId="0" applyFont="1" applyFill="1" applyAlignment="1" applyProtection="1">
      <alignment horizontal="left"/>
      <protection locked="0"/>
    </xf>
    <xf numFmtId="10" fontId="5" fillId="5" borderId="0" xfId="0" applyNumberFormat="1" applyFont="1" applyFill="1" applyProtection="1">
      <protection locked="0"/>
    </xf>
    <xf numFmtId="0" fontId="19" fillId="14" borderId="4" xfId="0" applyFont="1" applyFill="1" applyBorder="1" applyAlignment="1" applyProtection="1">
      <alignment horizontal="center"/>
      <protection locked="0"/>
    </xf>
    <xf numFmtId="0" fontId="5" fillId="14" borderId="5" xfId="0" applyFont="1" applyFill="1" applyBorder="1" applyProtection="1">
      <protection locked="0"/>
    </xf>
    <xf numFmtId="0" fontId="19" fillId="14" borderId="9" xfId="0" applyFont="1" applyFill="1" applyBorder="1" applyAlignment="1" applyProtection="1">
      <alignment horizontal="center"/>
      <protection locked="0"/>
    </xf>
    <xf numFmtId="0" fontId="5" fillId="14" borderId="10" xfId="0" applyFont="1" applyFill="1" applyBorder="1" applyProtection="1">
      <protection locked="0"/>
    </xf>
    <xf numFmtId="10" fontId="5" fillId="14" borderId="6" xfId="0" applyNumberFormat="1" applyFont="1" applyFill="1" applyBorder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167" fontId="18" fillId="0" borderId="0" xfId="0" applyNumberFormat="1" applyFont="1" applyProtection="1">
      <protection locked="0"/>
    </xf>
    <xf numFmtId="0" fontId="20" fillId="24" borderId="0" xfId="0" applyFont="1" applyFill="1" applyProtection="1">
      <protection locked="0"/>
    </xf>
    <xf numFmtId="167" fontId="20" fillId="24" borderId="0" xfId="0" applyNumberFormat="1" applyFont="1" applyFill="1" applyProtection="1">
      <protection locked="0"/>
    </xf>
    <xf numFmtId="0" fontId="20" fillId="0" borderId="0" xfId="0" applyFont="1" applyProtection="1">
      <protection locked="0"/>
    </xf>
    <xf numFmtId="0" fontId="8" fillId="0" borderId="0" xfId="0" applyFont="1"/>
    <xf numFmtId="167" fontId="19" fillId="0" borderId="0" xfId="0" applyNumberFormat="1" applyFont="1" applyProtection="1">
      <protection locked="0"/>
    </xf>
    <xf numFmtId="0" fontId="5" fillId="6" borderId="7" xfId="0" applyFont="1" applyFill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166" fontId="7" fillId="0" borderId="7" xfId="0" applyNumberFormat="1" applyFont="1" applyBorder="1" applyAlignment="1" applyProtection="1">
      <alignment horizontal="center"/>
      <protection locked="0"/>
    </xf>
    <xf numFmtId="0" fontId="7" fillId="6" borderId="7" xfId="0" applyFont="1" applyFill="1" applyBorder="1" applyAlignment="1" applyProtection="1">
      <alignment horizontal="center"/>
      <protection locked="0"/>
    </xf>
    <xf numFmtId="0" fontId="22" fillId="0" borderId="0" xfId="0" applyFont="1"/>
    <xf numFmtId="0" fontId="7" fillId="0" borderId="0" xfId="0" applyFont="1" applyAlignment="1" applyProtection="1">
      <alignment horizontal="center"/>
      <protection locked="0"/>
    </xf>
    <xf numFmtId="0" fontId="24" fillId="0" borderId="7" xfId="0" applyFont="1" applyBorder="1" applyProtection="1">
      <protection locked="0"/>
    </xf>
    <xf numFmtId="0" fontId="5" fillId="5" borderId="7" xfId="0" applyFont="1" applyFill="1" applyBorder="1" applyProtection="1">
      <protection locked="0"/>
    </xf>
    <xf numFmtId="167" fontId="5" fillId="5" borderId="7" xfId="0" applyNumberFormat="1" applyFont="1" applyFill="1" applyBorder="1" applyProtection="1">
      <protection locked="0"/>
    </xf>
    <xf numFmtId="0" fontId="24" fillId="21" borderId="7" xfId="0" applyFont="1" applyFill="1" applyBorder="1" applyProtection="1">
      <protection locked="0"/>
    </xf>
    <xf numFmtId="167" fontId="5" fillId="6" borderId="7" xfId="0" applyNumberFormat="1" applyFont="1" applyFill="1" applyBorder="1" applyAlignment="1" applyProtection="1">
      <alignment horizontal="center"/>
      <protection locked="0"/>
    </xf>
    <xf numFmtId="167" fontId="25" fillId="0" borderId="0" xfId="0" applyNumberFormat="1" applyFont="1" applyProtection="1">
      <protection locked="0"/>
    </xf>
    <xf numFmtId="167" fontId="26" fillId="0" borderId="0" xfId="0" applyNumberFormat="1" applyFont="1" applyAlignment="1" applyProtection="1">
      <alignment horizontal="center"/>
      <protection locked="0"/>
    </xf>
    <xf numFmtId="169" fontId="0" fillId="0" borderId="0" xfId="2" applyNumberFormat="1" applyFont="1"/>
    <xf numFmtId="173" fontId="0" fillId="0" borderId="0" xfId="0" applyNumberFormat="1"/>
    <xf numFmtId="164" fontId="0" fillId="0" borderId="0" xfId="1" applyFont="1"/>
    <xf numFmtId="167" fontId="0" fillId="0" borderId="0" xfId="0" applyNumberFormat="1"/>
    <xf numFmtId="164" fontId="0" fillId="2" borderId="0" xfId="0" applyNumberFormat="1" applyFill="1"/>
    <xf numFmtId="0" fontId="4" fillId="4" borderId="0" xfId="3"/>
    <xf numFmtId="3" fontId="4" fillId="4" borderId="0" xfId="3" applyNumberFormat="1"/>
    <xf numFmtId="0" fontId="0" fillId="0" borderId="1" xfId="0" applyBorder="1"/>
    <xf numFmtId="174" fontId="0" fillId="0" borderId="0" xfId="0" applyNumberFormat="1"/>
    <xf numFmtId="1" fontId="0" fillId="0" borderId="0" xfId="0" applyNumberFormat="1"/>
    <xf numFmtId="1" fontId="0" fillId="0" borderId="1" xfId="0" applyNumberFormat="1" applyBorder="1"/>
    <xf numFmtId="165" fontId="0" fillId="2" borderId="0" xfId="0" applyNumberFormat="1" applyFill="1"/>
    <xf numFmtId="164" fontId="0" fillId="10" borderId="0" xfId="0" applyNumberFormat="1" applyFill="1"/>
    <xf numFmtId="165" fontId="27" fillId="25" borderId="12" xfId="4" applyNumberFormat="1"/>
    <xf numFmtId="175" fontId="0" fillId="0" borderId="0" xfId="0" applyNumberFormat="1"/>
    <xf numFmtId="10" fontId="0" fillId="0" borderId="0" xfId="2" applyNumberFormat="1" applyFont="1"/>
    <xf numFmtId="175" fontId="28" fillId="0" borderId="13" xfId="5" applyNumberFormat="1"/>
    <xf numFmtId="164" fontId="1" fillId="0" borderId="1" xfId="1" applyFont="1" applyFill="1" applyBorder="1" applyAlignment="1">
      <alignment horizontal="center" vertical="top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" fillId="4" borderId="0" xfId="3" applyAlignment="1">
      <alignment horizontal="center" vertical="center"/>
    </xf>
    <xf numFmtId="164" fontId="0" fillId="0" borderId="1" xfId="1" applyFont="1" applyBorder="1"/>
    <xf numFmtId="2" fontId="0" fillId="0" borderId="1" xfId="0" applyNumberFormat="1" applyBorder="1"/>
    <xf numFmtId="164" fontId="0" fillId="0" borderId="1" xfId="0" applyNumberFormat="1" applyBorder="1"/>
    <xf numFmtId="0" fontId="4" fillId="0" borderId="0" xfId="3" applyFill="1"/>
    <xf numFmtId="3" fontId="4" fillId="0" borderId="0" xfId="3" applyNumberFormat="1" applyFill="1"/>
    <xf numFmtId="164" fontId="4" fillId="4" borderId="0" xfId="3" applyNumberFormat="1" applyAlignment="1">
      <alignment horizontal="center" vertical="center"/>
    </xf>
    <xf numFmtId="164" fontId="4" fillId="4" borderId="0" xfId="3" applyNumberFormat="1"/>
    <xf numFmtId="164" fontId="29" fillId="26" borderId="12" xfId="6" applyNumberFormat="1"/>
    <xf numFmtId="0" fontId="1" fillId="0" borderId="14" xfId="0" applyFont="1" applyBorder="1" applyAlignment="1">
      <alignment horizontal="center" vertical="top"/>
    </xf>
    <xf numFmtId="165" fontId="0" fillId="0" borderId="14" xfId="1" applyNumberFormat="1" applyFont="1" applyBorder="1"/>
    <xf numFmtId="0" fontId="1" fillId="0" borderId="15" xfId="0" applyFont="1" applyBorder="1" applyAlignment="1">
      <alignment horizontal="center" vertical="top"/>
    </xf>
    <xf numFmtId="9" fontId="0" fillId="0" borderId="15" xfId="2" applyFont="1" applyBorder="1"/>
    <xf numFmtId="0" fontId="0" fillId="0" borderId="1" xfId="0" applyBorder="1" applyAlignment="1">
      <alignment horizontal="center" vertical="center"/>
    </xf>
    <xf numFmtId="165" fontId="0" fillId="0" borderId="1" xfId="0" applyNumberFormat="1" applyBorder="1"/>
    <xf numFmtId="165" fontId="29" fillId="26" borderId="12" xfId="6" applyNumberFormat="1"/>
    <xf numFmtId="0" fontId="4" fillId="4" borderId="1" xfId="3" applyBorder="1"/>
    <xf numFmtId="164" fontId="30" fillId="0" borderId="0" xfId="7" applyNumberFormat="1"/>
    <xf numFmtId="0" fontId="0" fillId="0" borderId="16" xfId="0" applyBorder="1" applyAlignment="1">
      <alignment horizontal="center" vertical="center"/>
    </xf>
    <xf numFmtId="164" fontId="0" fillId="0" borderId="16" xfId="0" applyNumberForma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2" fillId="27" borderId="17" xfId="8"/>
    <xf numFmtId="165" fontId="32" fillId="27" borderId="17" xfId="1" applyNumberFormat="1" applyFont="1" applyFill="1" applyBorder="1"/>
    <xf numFmtId="1" fontId="29" fillId="26" borderId="12" xfId="6" applyNumberFormat="1"/>
    <xf numFmtId="165" fontId="0" fillId="0" borderId="0" xfId="1" applyNumberFormat="1" applyFont="1" applyBorder="1"/>
    <xf numFmtId="9" fontId="0" fillId="0" borderId="0" xfId="2" applyFont="1" applyBorder="1"/>
    <xf numFmtId="0" fontId="0" fillId="0" borderId="1" xfId="0" applyBorder="1" applyAlignment="1">
      <alignment horizontal="left" vertical="center"/>
    </xf>
    <xf numFmtId="9" fontId="0" fillId="0" borderId="1" xfId="2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left" vertical="center"/>
    </xf>
    <xf numFmtId="165" fontId="1" fillId="0" borderId="1" xfId="1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9" fontId="1" fillId="0" borderId="1" xfId="2" applyFont="1" applyBorder="1" applyAlignment="1">
      <alignment horizontal="center" vertical="center"/>
    </xf>
    <xf numFmtId="176" fontId="0" fillId="0" borderId="0" xfId="1" applyNumberFormat="1" applyFont="1"/>
    <xf numFmtId="177" fontId="0" fillId="0" borderId="0" xfId="0" applyNumberFormat="1"/>
    <xf numFmtId="0" fontId="29" fillId="26" borderId="12" xfId="6"/>
    <xf numFmtId="178" fontId="0" fillId="0" borderId="0" xfId="0" applyNumberFormat="1"/>
    <xf numFmtId="177" fontId="0" fillId="0" borderId="0" xfId="1" applyNumberFormat="1" applyFont="1" applyAlignment="1">
      <alignment horizontal="right"/>
    </xf>
    <xf numFmtId="164" fontId="29" fillId="26" borderId="12" xfId="6" applyNumberFormat="1" applyAlignment="1">
      <alignment horizontal="right" vertical="center"/>
    </xf>
    <xf numFmtId="176" fontId="29" fillId="26" borderId="12" xfId="6" applyNumberFormat="1" applyAlignment="1">
      <alignment horizontal="right" vertical="center"/>
    </xf>
    <xf numFmtId="10" fontId="29" fillId="26" borderId="12" xfId="6" applyNumberFormat="1" applyAlignment="1">
      <alignment horizontal="right" vertical="center"/>
    </xf>
    <xf numFmtId="0" fontId="0" fillId="0" borderId="1" xfId="0" applyBorder="1" applyAlignment="1">
      <alignment horizontal="right"/>
    </xf>
    <xf numFmtId="10" fontId="0" fillId="0" borderId="0" xfId="0" applyNumberFormat="1"/>
    <xf numFmtId="10" fontId="29" fillId="26" borderId="12" xfId="6" applyNumberFormat="1" applyAlignment="1">
      <alignment horizontal="center" vertical="center"/>
    </xf>
    <xf numFmtId="179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7" fillId="0" borderId="3" xfId="0" applyFont="1" applyBorder="1" applyProtection="1">
      <protection locked="0"/>
    </xf>
    <xf numFmtId="166" fontId="7" fillId="0" borderId="3" xfId="0" applyNumberFormat="1" applyFont="1" applyBorder="1" applyProtection="1">
      <protection locked="0"/>
    </xf>
    <xf numFmtId="166" fontId="7" fillId="8" borderId="3" xfId="0" applyNumberFormat="1" applyFont="1" applyFill="1" applyBorder="1" applyProtection="1">
      <protection locked="0"/>
    </xf>
    <xf numFmtId="166" fontId="7" fillId="9" borderId="6" xfId="0" applyNumberFormat="1" applyFont="1" applyFill="1" applyBorder="1" applyProtection="1">
      <protection locked="0"/>
    </xf>
    <xf numFmtId="0" fontId="7" fillId="9" borderId="9" xfId="0" applyFont="1" applyFill="1" applyBorder="1" applyProtection="1">
      <protection locked="0"/>
    </xf>
    <xf numFmtId="166" fontId="7" fillId="9" borderId="10" xfId="0" applyNumberFormat="1" applyFont="1" applyFill="1" applyBorder="1" applyProtection="1">
      <protection locked="0"/>
    </xf>
    <xf numFmtId="166" fontId="5" fillId="0" borderId="6" xfId="0" applyNumberFormat="1" applyFont="1" applyBorder="1" applyProtection="1">
      <protection locked="0"/>
    </xf>
    <xf numFmtId="166" fontId="7" fillId="9" borderId="1" xfId="0" applyNumberFormat="1" applyFont="1" applyFill="1" applyBorder="1" applyProtection="1">
      <protection locked="0"/>
    </xf>
    <xf numFmtId="10" fontId="7" fillId="11" borderId="0" xfId="0" applyNumberFormat="1" applyFont="1" applyFill="1" applyProtection="1">
      <protection locked="0"/>
    </xf>
    <xf numFmtId="0" fontId="0" fillId="0" borderId="0" xfId="0" applyAlignment="1">
      <alignment horizontal="center"/>
    </xf>
    <xf numFmtId="0" fontId="5" fillId="5" borderId="0" xfId="0" applyFont="1" applyFill="1" applyAlignment="1">
      <alignment horizontal="center"/>
    </xf>
    <xf numFmtId="166" fontId="8" fillId="0" borderId="0" xfId="0" applyNumberFormat="1" applyFont="1" applyAlignment="1">
      <alignment horizontal="center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166" fontId="10" fillId="0" borderId="3" xfId="0" applyNumberFormat="1" applyFont="1" applyBorder="1" applyAlignment="1" applyProtection="1">
      <alignment horizontal="center"/>
      <protection locked="0"/>
    </xf>
    <xf numFmtId="166" fontId="5" fillId="0" borderId="4" xfId="0" applyNumberFormat="1" applyFont="1" applyBorder="1" applyAlignment="1" applyProtection="1">
      <alignment horizontal="center"/>
      <protection locked="0"/>
    </xf>
    <xf numFmtId="166" fontId="5" fillId="0" borderId="5" xfId="0" applyNumberFormat="1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left"/>
      <protection locked="0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0" fontId="5" fillId="6" borderId="0" xfId="0" applyFont="1" applyFill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5" fillId="6" borderId="2" xfId="0" applyFont="1" applyFill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172" fontId="7" fillId="0" borderId="4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21" fillId="14" borderId="2" xfId="0" applyFont="1" applyFill="1" applyBorder="1" applyAlignment="1" applyProtection="1">
      <alignment horizontal="center"/>
      <protection locked="0"/>
    </xf>
    <xf numFmtId="171" fontId="7" fillId="0" borderId="4" xfId="0" applyNumberFormat="1" applyFont="1" applyBorder="1" applyAlignment="1" applyProtection="1">
      <alignment horizontal="center"/>
      <protection locked="0"/>
    </xf>
    <xf numFmtId="9" fontId="7" fillId="0" borderId="4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/>
    <xf numFmtId="0" fontId="9" fillId="0" borderId="2" xfId="0" applyFont="1" applyBorder="1" applyAlignment="1" applyProtection="1">
      <protection locked="0"/>
    </xf>
    <xf numFmtId="0" fontId="9" fillId="0" borderId="6" xfId="0" applyFont="1" applyBorder="1" applyAlignment="1" applyProtection="1">
      <protection locked="0"/>
    </xf>
    <xf numFmtId="0" fontId="5" fillId="0" borderId="2" xfId="0" applyFont="1" applyBorder="1" applyAlignment="1" applyProtection="1">
      <protection locked="0"/>
    </xf>
    <xf numFmtId="0" fontId="9" fillId="0" borderId="0" xfId="0" applyFont="1" applyAlignment="1" applyProtection="1">
      <protection locked="0"/>
    </xf>
    <xf numFmtId="0" fontId="16" fillId="0" borderId="0" xfId="0" applyFont="1" applyAlignment="1" applyProtection="1">
      <protection locked="0"/>
    </xf>
    <xf numFmtId="0" fontId="9" fillId="0" borderId="11" xfId="0" applyFont="1" applyBorder="1" applyAlignment="1" applyProtection="1">
      <protection locked="0"/>
    </xf>
    <xf numFmtId="0" fontId="9" fillId="0" borderId="5" xfId="0" applyFont="1" applyBorder="1" applyAlignment="1" applyProtection="1">
      <protection locked="0"/>
    </xf>
  </cellXfs>
  <cellStyles count="9">
    <cellStyle name="Calculation" xfId="6" builtinId="22"/>
    <cellStyle name="Check Cell" xfId="8" builtinId="23"/>
    <cellStyle name="Comma" xfId="1" builtinId="3"/>
    <cellStyle name="Explanatory Text" xfId="7" builtinId="53"/>
    <cellStyle name="Input" xfId="4" builtinId="20"/>
    <cellStyle name="Linked Cell" xfId="5" builtinId="24"/>
    <cellStyle name="Neutral" xfId="3" builtinId="28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DrinkSync.xlsx" TargetMode="External"/><Relationship Id="rId1" Type="http://schemas.openxmlformats.org/officeDocument/2006/relationships/externalLinkPath" Target="file:///E:\DrinkSyn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คำแนะนำก่อนใช้"/>
      <sheetName val="งบประมาณการลงทุน"/>
      <sheetName val="ค่าเสื่อมและตัดจ่าย"/>
      <sheetName val="การประมาณการยอดขาย"/>
      <sheetName val="สินค้าและส่งเสริมการขาย"/>
      <sheetName val="การประมาณการค่าใช้จ่าย"/>
      <sheetName val="งบกำไรขาดทุน"/>
      <sheetName val="งบกระแสเงินสด"/>
      <sheetName val="งบแสดงฐานะการเงิน"/>
      <sheetName val="NPV,IRR"/>
      <sheetName val="Sheet1"/>
      <sheetName val="Ratio"/>
    </sheetNames>
    <sheetDataSet>
      <sheetData sheetId="0"/>
      <sheetData sheetId="1">
        <row r="4">
          <cell r="D4" t="str">
            <v>เจ้าหนี้(เงินกู้ยืม)</v>
          </cell>
        </row>
        <row r="11">
          <cell r="A11" t="str">
            <v>สินทรัพย์ไม่หมุนเวียนรวม</v>
          </cell>
        </row>
        <row r="16">
          <cell r="A16" t="str">
            <v>ค่ามัดจำสถานที่</v>
          </cell>
        </row>
      </sheetData>
      <sheetData sheetId="2">
        <row r="9">
          <cell r="A9" t="str">
            <v>สินทรัพย์ไม่หมุนเวียนรวมสุทธิ</v>
          </cell>
        </row>
      </sheetData>
      <sheetData sheetId="3"/>
      <sheetData sheetId="4">
        <row r="5">
          <cell r="B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4"/>
  <sheetViews>
    <sheetView workbookViewId="0">
      <selection activeCell="H21" sqref="H21"/>
    </sheetView>
  </sheetViews>
  <sheetFormatPr defaultRowHeight="14.25"/>
  <cols>
    <col min="1" max="1" width="21.5" bestFit="1" customWidth="1"/>
    <col min="2" max="2" width="11.875" customWidth="1"/>
    <col min="3" max="3" width="13.5" bestFit="1" customWidth="1"/>
    <col min="4" max="4" width="21.5" bestFit="1" customWidth="1"/>
    <col min="5" max="5" width="22" bestFit="1" customWidth="1"/>
    <col min="6" max="6" width="14.5" bestFit="1" customWidth="1"/>
    <col min="7" max="7" width="15.5" customWidth="1"/>
    <col min="8" max="8" width="19.75" customWidth="1"/>
    <col min="9" max="9" width="18.625" bestFit="1" customWidth="1"/>
    <col min="10" max="10" width="13.125" bestFit="1" customWidth="1"/>
  </cols>
  <sheetData>
    <row r="1" spans="1:11">
      <c r="D1">
        <v>100</v>
      </c>
      <c r="E1">
        <v>1</v>
      </c>
      <c r="J1" s="2"/>
    </row>
    <row r="2" spans="1:11">
      <c r="A2" s="1" t="s">
        <v>0</v>
      </c>
      <c r="B2" s="1" t="s">
        <v>1</v>
      </c>
      <c r="C2" s="1" t="s">
        <v>2</v>
      </c>
      <c r="D2" s="190" t="s">
        <v>3</v>
      </c>
      <c r="E2" s="201" t="s">
        <v>4</v>
      </c>
      <c r="F2" s="192" t="s">
        <v>5</v>
      </c>
    </row>
    <row r="3" spans="1:11" ht="18.75" customHeight="1">
      <c r="A3" t="s">
        <v>6</v>
      </c>
      <c r="B3">
        <v>1</v>
      </c>
      <c r="C3" s="2">
        <v>220000</v>
      </c>
      <c r="D3" s="2">
        <f>C3*$D$1</f>
        <v>22000000</v>
      </c>
      <c r="E3" s="8">
        <f>D3*$E$1</f>
        <v>22000000</v>
      </c>
      <c r="F3" s="4">
        <f>D3/$D$8</f>
        <v>0.4</v>
      </c>
      <c r="H3" s="2"/>
      <c r="I3" s="8"/>
      <c r="J3" s="2"/>
      <c r="K3" s="8"/>
    </row>
    <row r="4" spans="1:11" ht="18.75" customHeight="1">
      <c r="A4" t="s">
        <v>7</v>
      </c>
      <c r="B4">
        <v>2</v>
      </c>
      <c r="C4" s="2">
        <v>137500</v>
      </c>
      <c r="D4" s="2">
        <f t="shared" ref="D4:D7" si="0">C4*$D$1</f>
        <v>13750000</v>
      </c>
      <c r="E4" s="8">
        <f t="shared" ref="E4:E7" si="1">D4*$E$1</f>
        <v>13750000</v>
      </c>
      <c r="F4" s="4">
        <f>D4/$D$8</f>
        <v>0.25</v>
      </c>
      <c r="H4" s="2"/>
      <c r="I4" s="8"/>
      <c r="J4" s="2"/>
      <c r="K4" s="8"/>
    </row>
    <row r="5" spans="1:11" ht="18.75" customHeight="1">
      <c r="A5" t="s">
        <v>8</v>
      </c>
      <c r="B5">
        <v>3</v>
      </c>
      <c r="C5" s="2">
        <v>82500</v>
      </c>
      <c r="D5" s="2">
        <f t="shared" si="0"/>
        <v>8250000</v>
      </c>
      <c r="E5" s="8">
        <f t="shared" si="1"/>
        <v>8250000</v>
      </c>
      <c r="F5" s="4">
        <f>D5/$D$8</f>
        <v>0.15</v>
      </c>
      <c r="H5" s="2"/>
      <c r="I5" s="8"/>
      <c r="J5" s="2"/>
      <c r="K5" s="8"/>
    </row>
    <row r="6" spans="1:11" ht="18.75" customHeight="1">
      <c r="A6" t="s">
        <v>9</v>
      </c>
      <c r="B6">
        <v>4</v>
      </c>
      <c r="C6" s="2">
        <v>55000</v>
      </c>
      <c r="D6" s="2">
        <f t="shared" si="0"/>
        <v>5500000</v>
      </c>
      <c r="E6" s="8">
        <f t="shared" si="1"/>
        <v>5500000</v>
      </c>
      <c r="F6" s="4">
        <f>D6/$D$8</f>
        <v>0.1</v>
      </c>
      <c r="H6" s="2"/>
      <c r="I6" s="8"/>
      <c r="J6" s="2"/>
      <c r="K6" s="8"/>
    </row>
    <row r="7" spans="1:11" ht="18.75" customHeight="1">
      <c r="A7" t="s">
        <v>10</v>
      </c>
      <c r="B7">
        <v>5</v>
      </c>
      <c r="C7" s="2">
        <v>55000</v>
      </c>
      <c r="D7" s="2">
        <f t="shared" si="0"/>
        <v>5500000</v>
      </c>
      <c r="E7" s="8">
        <f t="shared" si="1"/>
        <v>5500000</v>
      </c>
      <c r="F7" s="4">
        <f>D7/$D$8</f>
        <v>0.1</v>
      </c>
      <c r="H7" s="2"/>
      <c r="I7" s="8"/>
      <c r="J7" s="2"/>
      <c r="K7" s="8"/>
    </row>
    <row r="8" spans="1:11" ht="18.75" customHeight="1">
      <c r="C8" s="3">
        <f>SUM(C3:C7)</f>
        <v>550000</v>
      </c>
      <c r="D8" s="191">
        <f t="shared" ref="D8" si="2">SUM(D3:D7)</f>
        <v>55000000</v>
      </c>
      <c r="E8" s="195">
        <f>SUM(E3:E7)</f>
        <v>55000000</v>
      </c>
      <c r="F8" s="193">
        <f>SUM(F3:F7)</f>
        <v>1</v>
      </c>
      <c r="I8" s="2"/>
    </row>
    <row r="16" spans="1:11">
      <c r="H16" s="180" t="s">
        <v>11</v>
      </c>
      <c r="I16" s="180" t="s">
        <v>12</v>
      </c>
      <c r="J16" s="180" t="s">
        <v>13</v>
      </c>
    </row>
    <row r="17" spans="2:10" ht="18">
      <c r="B17" s="203">
        <v>1</v>
      </c>
      <c r="C17" s="1" t="s">
        <v>1</v>
      </c>
      <c r="D17" s="1" t="s">
        <v>2</v>
      </c>
      <c r="E17" s="190" t="s">
        <v>3</v>
      </c>
      <c r="F17" s="201" t="s">
        <v>4</v>
      </c>
      <c r="G17" s="192" t="s">
        <v>5</v>
      </c>
      <c r="H17" s="188">
        <f>Tax!T10</f>
        <v>54142.674141073207</v>
      </c>
      <c r="I17" s="4">
        <v>0.1</v>
      </c>
    </row>
    <row r="18" spans="2:10" ht="18">
      <c r="B18" s="203"/>
      <c r="C18">
        <v>1</v>
      </c>
      <c r="D18" s="2">
        <v>220000</v>
      </c>
      <c r="E18" s="2">
        <f>D18*$D$1</f>
        <v>22000000</v>
      </c>
      <c r="F18" s="8">
        <f>E18*$E$1</f>
        <v>22000000</v>
      </c>
      <c r="G18" s="4">
        <f>E18/$D$8</f>
        <v>0.4</v>
      </c>
      <c r="H18" s="6">
        <f>$H$17*G18</f>
        <v>21657.069656429285</v>
      </c>
      <c r="I18" s="6">
        <f>H18*$I$17</f>
        <v>2165.7069656429285</v>
      </c>
      <c r="J18" s="6">
        <f>H18-I18</f>
        <v>19491.362690786358</v>
      </c>
    </row>
    <row r="19" spans="2:10" ht="18">
      <c r="B19" s="203"/>
      <c r="C19">
        <v>2</v>
      </c>
      <c r="D19" s="2">
        <v>137500</v>
      </c>
      <c r="E19" s="2">
        <f t="shared" ref="E19:E22" si="3">D19*$D$1</f>
        <v>13750000</v>
      </c>
      <c r="F19" s="8">
        <f t="shared" ref="F19:F22" si="4">E19*$E$1</f>
        <v>13750000</v>
      </c>
      <c r="G19" s="4">
        <f>E19/$D$8</f>
        <v>0.25</v>
      </c>
      <c r="H19" s="6">
        <f t="shared" ref="H19:H22" si="5">$H$17*G19</f>
        <v>13535.668535268302</v>
      </c>
      <c r="I19" s="6">
        <f t="shared" ref="I19:I22" si="6">H19*$I$17</f>
        <v>1353.5668535268303</v>
      </c>
      <c r="J19" s="6">
        <f t="shared" ref="J19:J22" si="7">H19-I19</f>
        <v>12182.101681741471</v>
      </c>
    </row>
    <row r="20" spans="2:10" ht="18">
      <c r="B20" s="203"/>
      <c r="C20">
        <v>3</v>
      </c>
      <c r="D20" s="2">
        <v>82500</v>
      </c>
      <c r="E20" s="2">
        <f t="shared" si="3"/>
        <v>8250000</v>
      </c>
      <c r="F20" s="8">
        <f t="shared" si="4"/>
        <v>8250000</v>
      </c>
      <c r="G20" s="4">
        <f>E20/$D$8</f>
        <v>0.15</v>
      </c>
      <c r="H20" s="6">
        <f t="shared" si="5"/>
        <v>8121.4011211609804</v>
      </c>
      <c r="I20" s="6">
        <f t="shared" si="6"/>
        <v>812.14011211609807</v>
      </c>
      <c r="J20" s="6">
        <f t="shared" si="7"/>
        <v>7309.2610090448825</v>
      </c>
    </row>
    <row r="21" spans="2:10" ht="18">
      <c r="B21" s="203"/>
      <c r="C21">
        <v>4</v>
      </c>
      <c r="D21" s="2">
        <v>55000</v>
      </c>
      <c r="E21" s="2">
        <f t="shared" si="3"/>
        <v>5500000</v>
      </c>
      <c r="F21" s="8">
        <f t="shared" si="4"/>
        <v>5500000</v>
      </c>
      <c r="G21" s="4">
        <f>E21/$D$8</f>
        <v>0.1</v>
      </c>
      <c r="H21" s="6">
        <f t="shared" si="5"/>
        <v>5414.2674141073212</v>
      </c>
      <c r="I21" s="6">
        <f t="shared" si="6"/>
        <v>541.42674141073212</v>
      </c>
      <c r="J21" s="6">
        <f>H21-I21</f>
        <v>4872.8406726965895</v>
      </c>
    </row>
    <row r="22" spans="2:10" ht="18">
      <c r="B22" s="203"/>
      <c r="C22">
        <v>5</v>
      </c>
      <c r="D22" s="2">
        <v>55000</v>
      </c>
      <c r="E22" s="2">
        <f t="shared" si="3"/>
        <v>5500000</v>
      </c>
      <c r="F22" s="8">
        <f t="shared" si="4"/>
        <v>5500000</v>
      </c>
      <c r="G22" s="4">
        <f>E22/$D$8</f>
        <v>0.1</v>
      </c>
      <c r="H22" s="6">
        <f t="shared" si="5"/>
        <v>5414.2674141073212</v>
      </c>
      <c r="I22" s="6">
        <f t="shared" si="6"/>
        <v>541.42674141073212</v>
      </c>
      <c r="J22" s="6">
        <f t="shared" si="7"/>
        <v>4872.8406726965895</v>
      </c>
    </row>
    <row r="23" spans="2:10" ht="18">
      <c r="B23" s="203"/>
      <c r="C23" s="201" t="s">
        <v>14</v>
      </c>
      <c r="D23" s="3">
        <f>SUM(D18:D22)</f>
        <v>550000</v>
      </c>
      <c r="E23" s="191">
        <f t="shared" ref="E23" si="8">SUM(E18:E22)</f>
        <v>55000000</v>
      </c>
      <c r="F23" s="195">
        <f>SUM(F18:F22)</f>
        <v>55000000</v>
      </c>
      <c r="G23" s="193">
        <f>SUM(G18:G22)</f>
        <v>1</v>
      </c>
      <c r="H23" s="184">
        <f>SUM(H18:H22)</f>
        <v>54142.674141073214</v>
      </c>
      <c r="I23" s="184">
        <f>SUM(I18:I22)</f>
        <v>5414.2674141073221</v>
      </c>
      <c r="J23" s="184">
        <f>SUM(J18:J22)</f>
        <v>48728.406726965892</v>
      </c>
    </row>
    <row r="24" spans="2:10" ht="18">
      <c r="B24" s="203"/>
    </row>
    <row r="25" spans="2:10">
      <c r="H25" s="180" t="s">
        <v>11</v>
      </c>
      <c r="I25" s="180" t="s">
        <v>12</v>
      </c>
      <c r="J25" s="180" t="s">
        <v>13</v>
      </c>
    </row>
    <row r="26" spans="2:10" ht="18">
      <c r="B26" s="203">
        <v>2</v>
      </c>
      <c r="C26" s="1" t="s">
        <v>1</v>
      </c>
      <c r="D26" s="1" t="s">
        <v>2</v>
      </c>
      <c r="E26" s="190" t="s">
        <v>3</v>
      </c>
      <c r="F26" s="201" t="s">
        <v>4</v>
      </c>
      <c r="G26" s="192" t="s">
        <v>5</v>
      </c>
      <c r="H26" s="188">
        <f>Tax!T26</f>
        <v>210952.00221967517</v>
      </c>
      <c r="I26" s="4">
        <v>0.1</v>
      </c>
    </row>
    <row r="27" spans="2:10" ht="18">
      <c r="B27" s="203"/>
      <c r="C27">
        <v>1</v>
      </c>
      <c r="D27" s="2">
        <v>220000</v>
      </c>
      <c r="E27" s="2">
        <f>D27*$D$1</f>
        <v>22000000</v>
      </c>
      <c r="F27" s="8">
        <f>E27*$E$1</f>
        <v>22000000</v>
      </c>
      <c r="G27" s="4">
        <f>E27/$D$8</f>
        <v>0.4</v>
      </c>
      <c r="H27" s="6">
        <f>$H$26*G27</f>
        <v>84380.800887870078</v>
      </c>
      <c r="I27" s="6">
        <f>H27*$I$26</f>
        <v>8438.0800887870082</v>
      </c>
      <c r="J27" s="6">
        <f>H27-I27</f>
        <v>75942.720799083065</v>
      </c>
    </row>
    <row r="28" spans="2:10" ht="18">
      <c r="B28" s="203"/>
      <c r="C28">
        <v>2</v>
      </c>
      <c r="D28" s="2">
        <v>137500</v>
      </c>
      <c r="E28" s="2">
        <f t="shared" ref="E28:E31" si="9">D28*$D$1</f>
        <v>13750000</v>
      </c>
      <c r="F28" s="8">
        <f t="shared" ref="F28:F31" si="10">E28*$E$1</f>
        <v>13750000</v>
      </c>
      <c r="G28" s="4">
        <f>E28/$D$8</f>
        <v>0.25</v>
      </c>
      <c r="H28" s="6">
        <f>$H$26*G28</f>
        <v>52738.000554918792</v>
      </c>
      <c r="I28" s="6">
        <f t="shared" ref="I28:I31" si="11">H28*$I$26</f>
        <v>5273.8000554918799</v>
      </c>
      <c r="J28" s="6">
        <f t="shared" ref="J28:J31" si="12">H28-I28</f>
        <v>47464.200499426908</v>
      </c>
    </row>
    <row r="29" spans="2:10" ht="18">
      <c r="B29" s="203"/>
      <c r="C29">
        <v>3</v>
      </c>
      <c r="D29" s="2">
        <v>82500</v>
      </c>
      <c r="E29" s="2">
        <f t="shared" si="9"/>
        <v>8250000</v>
      </c>
      <c r="F29" s="8">
        <f t="shared" si="10"/>
        <v>8250000</v>
      </c>
      <c r="G29" s="4">
        <f>E29/$D$8</f>
        <v>0.15</v>
      </c>
      <c r="H29" s="6">
        <f>$H$26*G29</f>
        <v>31642.800332951272</v>
      </c>
      <c r="I29" s="6">
        <f t="shared" si="11"/>
        <v>3164.2800332951274</v>
      </c>
      <c r="J29" s="6">
        <f t="shared" si="12"/>
        <v>28478.520299656146</v>
      </c>
    </row>
    <row r="30" spans="2:10" ht="18">
      <c r="B30" s="203"/>
      <c r="C30">
        <v>4</v>
      </c>
      <c r="D30" s="2">
        <v>55000</v>
      </c>
      <c r="E30" s="2">
        <f t="shared" si="9"/>
        <v>5500000</v>
      </c>
      <c r="F30" s="8">
        <f t="shared" si="10"/>
        <v>5500000</v>
      </c>
      <c r="G30" s="4">
        <f>E30/$D$8</f>
        <v>0.1</v>
      </c>
      <c r="H30" s="6">
        <f>$H$26*G30</f>
        <v>21095.20022196752</v>
      </c>
      <c r="I30" s="6">
        <f t="shared" si="11"/>
        <v>2109.5200221967521</v>
      </c>
      <c r="J30" s="6">
        <f t="shared" si="12"/>
        <v>18985.680199770766</v>
      </c>
    </row>
    <row r="31" spans="2:10" ht="18">
      <c r="B31" s="203"/>
      <c r="C31">
        <v>5</v>
      </c>
      <c r="D31" s="2">
        <v>55000</v>
      </c>
      <c r="E31" s="2">
        <f t="shared" si="9"/>
        <v>5500000</v>
      </c>
      <c r="F31" s="8">
        <f t="shared" si="10"/>
        <v>5500000</v>
      </c>
      <c r="G31" s="4">
        <f>E31/$D$8</f>
        <v>0.1</v>
      </c>
      <c r="H31" s="6">
        <f>$H$26*G31</f>
        <v>21095.20022196752</v>
      </c>
      <c r="I31" s="6">
        <f t="shared" si="11"/>
        <v>2109.5200221967521</v>
      </c>
      <c r="J31" s="6">
        <f t="shared" si="12"/>
        <v>18985.680199770766</v>
      </c>
    </row>
    <row r="32" spans="2:10" ht="18">
      <c r="B32" s="203"/>
      <c r="C32" s="201" t="s">
        <v>14</v>
      </c>
      <c r="D32" s="3">
        <f>SUM(D27:D31)</f>
        <v>550000</v>
      </c>
      <c r="E32" s="191">
        <f t="shared" ref="E32" si="13">SUM(E27:E31)</f>
        <v>55000000</v>
      </c>
      <c r="F32" s="195">
        <f>SUM(F27:F31)</f>
        <v>55000000</v>
      </c>
      <c r="G32" s="193">
        <f>SUM(G27:G31)</f>
        <v>1</v>
      </c>
      <c r="H32" s="184">
        <f>SUM(H27:H31)</f>
        <v>210952.00221967517</v>
      </c>
      <c r="I32" s="184">
        <f t="shared" ref="I32:J32" si="14">SUM(I27:I31)</f>
        <v>21095.200221967523</v>
      </c>
      <c r="J32" s="184">
        <f t="shared" si="14"/>
        <v>189856.80199770769</v>
      </c>
    </row>
    <row r="33" spans="2:10" ht="18">
      <c r="B33" s="203"/>
    </row>
    <row r="34" spans="2:10">
      <c r="H34" s="180" t="s">
        <v>11</v>
      </c>
      <c r="I34" s="180" t="s">
        <v>12</v>
      </c>
      <c r="J34" s="180" t="s">
        <v>13</v>
      </c>
    </row>
    <row r="35" spans="2:10" ht="18">
      <c r="B35" s="203">
        <v>3</v>
      </c>
      <c r="C35" s="1" t="s">
        <v>1</v>
      </c>
      <c r="D35" s="1" t="s">
        <v>2</v>
      </c>
      <c r="E35" s="190" t="s">
        <v>3</v>
      </c>
      <c r="F35" s="201" t="s">
        <v>4</v>
      </c>
      <c r="G35" s="192" t="s">
        <v>5</v>
      </c>
      <c r="H35" s="188">
        <f>Tax!T41</f>
        <v>364505.65307975403</v>
      </c>
      <c r="I35" s="4">
        <v>0.1</v>
      </c>
    </row>
    <row r="36" spans="2:10" ht="18">
      <c r="B36" s="203"/>
      <c r="C36">
        <v>1</v>
      </c>
      <c r="D36" s="2">
        <v>220000</v>
      </c>
      <c r="E36" s="2">
        <f>D36*$D$1</f>
        <v>22000000</v>
      </c>
      <c r="F36" s="8">
        <f>E36*$E$1</f>
        <v>22000000</v>
      </c>
      <c r="G36" s="4">
        <f>E36/$D$8</f>
        <v>0.4</v>
      </c>
      <c r="H36" s="6">
        <f>$H$35*G36</f>
        <v>145802.26123190162</v>
      </c>
      <c r="I36" s="6">
        <f>H36*$I$35</f>
        <v>14580.226123190163</v>
      </c>
      <c r="J36" s="6">
        <f>H36-I36</f>
        <v>131222.03510871145</v>
      </c>
    </row>
    <row r="37" spans="2:10" ht="18">
      <c r="B37" s="203"/>
      <c r="C37">
        <v>2</v>
      </c>
      <c r="D37" s="2">
        <v>137500</v>
      </c>
      <c r="E37" s="2">
        <f t="shared" ref="E37:E40" si="15">D37*$D$1</f>
        <v>13750000</v>
      </c>
      <c r="F37" s="8">
        <f t="shared" ref="F37:F40" si="16">E37*$E$1</f>
        <v>13750000</v>
      </c>
      <c r="G37" s="4">
        <f>E37/$D$8</f>
        <v>0.25</v>
      </c>
      <c r="H37" s="6">
        <f t="shared" ref="H37:H40" si="17">$H$35*G37</f>
        <v>91126.413269938508</v>
      </c>
      <c r="I37" s="6">
        <f t="shared" ref="I37:I39" si="18">H37*$I$35</f>
        <v>9112.6413269938512</v>
      </c>
      <c r="J37" s="6">
        <f t="shared" ref="J37:J40" si="19">H37-I37</f>
        <v>82013.771942944659</v>
      </c>
    </row>
    <row r="38" spans="2:10" ht="18">
      <c r="B38" s="203"/>
      <c r="C38">
        <v>3</v>
      </c>
      <c r="D38" s="2">
        <v>82500</v>
      </c>
      <c r="E38" s="2">
        <f t="shared" si="15"/>
        <v>8250000</v>
      </c>
      <c r="F38" s="8">
        <f t="shared" si="16"/>
        <v>8250000</v>
      </c>
      <c r="G38" s="4">
        <f>E38/$D$8</f>
        <v>0.15</v>
      </c>
      <c r="H38" s="6">
        <f t="shared" si="17"/>
        <v>54675.847961963103</v>
      </c>
      <c r="I38" s="6">
        <f t="shared" si="18"/>
        <v>5467.5847961963109</v>
      </c>
      <c r="J38" s="6">
        <f t="shared" si="19"/>
        <v>49208.263165766795</v>
      </c>
    </row>
    <row r="39" spans="2:10" ht="18">
      <c r="B39" s="203"/>
      <c r="C39">
        <v>4</v>
      </c>
      <c r="D39" s="2">
        <v>55000</v>
      </c>
      <c r="E39" s="2">
        <f t="shared" si="15"/>
        <v>5500000</v>
      </c>
      <c r="F39" s="8">
        <f t="shared" si="16"/>
        <v>5500000</v>
      </c>
      <c r="G39" s="4">
        <f>E39/$D$8</f>
        <v>0.1</v>
      </c>
      <c r="H39" s="6">
        <f t="shared" si="17"/>
        <v>36450.565307975405</v>
      </c>
      <c r="I39" s="6">
        <f t="shared" si="18"/>
        <v>3645.0565307975407</v>
      </c>
      <c r="J39" s="6">
        <f t="shared" si="19"/>
        <v>32805.508777177864</v>
      </c>
    </row>
    <row r="40" spans="2:10" ht="18">
      <c r="B40" s="203"/>
      <c r="C40">
        <v>5</v>
      </c>
      <c r="D40" s="2">
        <v>55000</v>
      </c>
      <c r="E40" s="2">
        <f t="shared" si="15"/>
        <v>5500000</v>
      </c>
      <c r="F40" s="8">
        <f t="shared" si="16"/>
        <v>5500000</v>
      </c>
      <c r="G40" s="4">
        <f>E40/$D$8</f>
        <v>0.1</v>
      </c>
      <c r="H40" s="6">
        <f t="shared" si="17"/>
        <v>36450.565307975405</v>
      </c>
      <c r="I40" s="6">
        <f>H40*$I$35</f>
        <v>3645.0565307975407</v>
      </c>
      <c r="J40" s="6">
        <f t="shared" si="19"/>
        <v>32805.508777177864</v>
      </c>
    </row>
    <row r="41" spans="2:10" ht="18">
      <c r="B41" s="203"/>
      <c r="C41" s="201" t="s">
        <v>14</v>
      </c>
      <c r="D41" s="3">
        <f>SUM(D36:D40)</f>
        <v>550000</v>
      </c>
      <c r="E41" s="191">
        <f t="shared" ref="E41" si="20">SUM(E36:E40)</f>
        <v>55000000</v>
      </c>
      <c r="F41" s="195">
        <f>SUM(F36:F40)</f>
        <v>55000000</v>
      </c>
      <c r="G41" s="193">
        <f>SUM(G36:G40)</f>
        <v>1</v>
      </c>
      <c r="H41" s="184">
        <f>SUM(H36:H40)</f>
        <v>364505.65307975403</v>
      </c>
      <c r="I41" s="184">
        <f t="shared" ref="I41:J41" si="21">SUM(I36:I40)</f>
        <v>36450.565307975405</v>
      </c>
      <c r="J41" s="184">
        <f t="shared" si="21"/>
        <v>328055.08777177869</v>
      </c>
    </row>
    <row r="42" spans="2:10" ht="18">
      <c r="B42" s="203"/>
    </row>
    <row r="43" spans="2:10">
      <c r="H43" s="180" t="s">
        <v>11</v>
      </c>
      <c r="I43" s="180" t="s">
        <v>12</v>
      </c>
      <c r="J43" s="180" t="s">
        <v>13</v>
      </c>
    </row>
    <row r="44" spans="2:10" ht="18">
      <c r="B44" s="203">
        <v>4</v>
      </c>
      <c r="C44" s="1" t="s">
        <v>1</v>
      </c>
      <c r="D44" s="1" t="s">
        <v>2</v>
      </c>
      <c r="E44" s="190" t="s">
        <v>3</v>
      </c>
      <c r="F44" s="201" t="s">
        <v>4</v>
      </c>
      <c r="G44" s="192" t="s">
        <v>5</v>
      </c>
      <c r="H44" s="188">
        <f>Tax!T56</f>
        <v>529892.40295001538</v>
      </c>
      <c r="I44" s="4">
        <v>0.1</v>
      </c>
    </row>
    <row r="45" spans="2:10" ht="18">
      <c r="B45" s="203"/>
      <c r="C45">
        <v>1</v>
      </c>
      <c r="D45" s="2">
        <v>220000</v>
      </c>
      <c r="E45" s="2">
        <f>D45*$D$1</f>
        <v>22000000</v>
      </c>
      <c r="F45" s="8">
        <f>E45*$E$1</f>
        <v>22000000</v>
      </c>
      <c r="G45" s="4">
        <f>E45/$D$8</f>
        <v>0.4</v>
      </c>
      <c r="H45" s="6">
        <f>$H$44*G45</f>
        <v>211956.96118000615</v>
      </c>
      <c r="I45" s="6">
        <f>H45*$I$44</f>
        <v>21195.696118000618</v>
      </c>
      <c r="J45" s="6">
        <f>H45-I45</f>
        <v>190761.26506200555</v>
      </c>
    </row>
    <row r="46" spans="2:10" ht="18">
      <c r="B46" s="203"/>
      <c r="C46">
        <v>2</v>
      </c>
      <c r="D46" s="2">
        <v>137500</v>
      </c>
      <c r="E46" s="2">
        <f t="shared" ref="E46:E49" si="22">D46*$D$1</f>
        <v>13750000</v>
      </c>
      <c r="F46" s="8">
        <f t="shared" ref="F46:F49" si="23">E46*$E$1</f>
        <v>13750000</v>
      </c>
      <c r="G46" s="4">
        <f>E46/$D$8</f>
        <v>0.25</v>
      </c>
      <c r="H46" s="6">
        <f t="shared" ref="H46:H49" si="24">$H$44*G46</f>
        <v>132473.10073750385</v>
      </c>
      <c r="I46" s="6">
        <f t="shared" ref="I46:I49" si="25">H46*$I$44</f>
        <v>13247.310073750385</v>
      </c>
      <c r="J46" s="6">
        <f t="shared" ref="J46:J49" si="26">H46-I46</f>
        <v>119225.79066375346</v>
      </c>
    </row>
    <row r="47" spans="2:10" ht="18">
      <c r="B47" s="203"/>
      <c r="C47">
        <v>3</v>
      </c>
      <c r="D47" s="2">
        <v>82500</v>
      </c>
      <c r="E47" s="2">
        <f t="shared" si="22"/>
        <v>8250000</v>
      </c>
      <c r="F47" s="8">
        <f t="shared" si="23"/>
        <v>8250000</v>
      </c>
      <c r="G47" s="4">
        <f>E47/$D$8</f>
        <v>0.15</v>
      </c>
      <c r="H47" s="6">
        <f t="shared" si="24"/>
        <v>79483.860442502308</v>
      </c>
      <c r="I47" s="6">
        <f t="shared" si="25"/>
        <v>7948.386044250231</v>
      </c>
      <c r="J47" s="6">
        <f t="shared" si="26"/>
        <v>71535.474398252074</v>
      </c>
    </row>
    <row r="48" spans="2:10" ht="18">
      <c r="B48" s="203"/>
      <c r="C48">
        <v>4</v>
      </c>
      <c r="D48" s="2">
        <v>55000</v>
      </c>
      <c r="E48" s="2">
        <f t="shared" si="22"/>
        <v>5500000</v>
      </c>
      <c r="F48" s="8">
        <f t="shared" si="23"/>
        <v>5500000</v>
      </c>
      <c r="G48" s="4">
        <f>E48/$D$8</f>
        <v>0.1</v>
      </c>
      <c r="H48" s="6">
        <f t="shared" si="24"/>
        <v>52989.240295001538</v>
      </c>
      <c r="I48" s="6">
        <f t="shared" si="25"/>
        <v>5298.9240295001546</v>
      </c>
      <c r="J48" s="6">
        <f t="shared" si="26"/>
        <v>47690.316265501388</v>
      </c>
    </row>
    <row r="49" spans="2:10" ht="18">
      <c r="B49" s="203"/>
      <c r="C49">
        <v>5</v>
      </c>
      <c r="D49" s="2">
        <v>55000</v>
      </c>
      <c r="E49" s="2">
        <f t="shared" si="22"/>
        <v>5500000</v>
      </c>
      <c r="F49" s="8">
        <f t="shared" si="23"/>
        <v>5500000</v>
      </c>
      <c r="G49" s="4">
        <f>E49/$D$8</f>
        <v>0.1</v>
      </c>
      <c r="H49" s="6">
        <f t="shared" si="24"/>
        <v>52989.240295001538</v>
      </c>
      <c r="I49" s="6">
        <f t="shared" si="25"/>
        <v>5298.9240295001546</v>
      </c>
      <c r="J49" s="6">
        <f t="shared" si="26"/>
        <v>47690.316265501388</v>
      </c>
    </row>
    <row r="50" spans="2:10" ht="18">
      <c r="B50" s="203"/>
      <c r="C50" s="201" t="s">
        <v>14</v>
      </c>
      <c r="D50" s="3">
        <f>SUM(D45:D49)</f>
        <v>550000</v>
      </c>
      <c r="E50" s="191">
        <f t="shared" ref="E50" si="27">SUM(E45:E49)</f>
        <v>55000000</v>
      </c>
      <c r="F50" s="195">
        <f>SUM(F45:F49)</f>
        <v>55000000</v>
      </c>
      <c r="G50" s="193">
        <f>SUM(G45:G49)</f>
        <v>1</v>
      </c>
      <c r="H50" s="184">
        <f>SUM(H45:H49)</f>
        <v>529892.40295001538</v>
      </c>
      <c r="I50" s="184">
        <f t="shared" ref="I50:J50" si="28">SUM(I45:I49)</f>
        <v>52989.240295001538</v>
      </c>
      <c r="J50" s="184">
        <f t="shared" si="28"/>
        <v>476903.16265501385</v>
      </c>
    </row>
    <row r="51" spans="2:10" ht="18">
      <c r="B51" s="203"/>
    </row>
    <row r="52" spans="2:10">
      <c r="H52" s="180" t="s">
        <v>11</v>
      </c>
      <c r="I52" s="180" t="s">
        <v>12</v>
      </c>
      <c r="J52" s="180" t="s">
        <v>13</v>
      </c>
    </row>
    <row r="53" spans="2:10" ht="18">
      <c r="B53" s="203">
        <v>5</v>
      </c>
      <c r="C53" s="1" t="s">
        <v>1</v>
      </c>
      <c r="D53" s="1" t="s">
        <v>2</v>
      </c>
      <c r="E53" s="190" t="s">
        <v>3</v>
      </c>
      <c r="F53" s="201" t="s">
        <v>4</v>
      </c>
      <c r="G53" s="192" t="s">
        <v>5</v>
      </c>
      <c r="H53" s="188">
        <f>Tax!T71</f>
        <v>698605.87190732197</v>
      </c>
      <c r="I53" s="4">
        <v>0.1</v>
      </c>
    </row>
    <row r="54" spans="2:10" ht="18">
      <c r="B54" s="203"/>
      <c r="C54">
        <v>1</v>
      </c>
      <c r="D54" s="2">
        <v>220000</v>
      </c>
      <c r="E54" s="2">
        <f>D54*$D$1</f>
        <v>22000000</v>
      </c>
      <c r="F54" s="8">
        <f>E54*$E$1</f>
        <v>22000000</v>
      </c>
      <c r="G54" s="4">
        <f>E54/$D$8</f>
        <v>0.4</v>
      </c>
      <c r="H54" s="6">
        <f>$H$53*G54</f>
        <v>279442.3487629288</v>
      </c>
      <c r="I54" s="6">
        <f>H54*$I$53</f>
        <v>27944.234876292881</v>
      </c>
      <c r="J54" s="6">
        <f>H54-I54</f>
        <v>251498.11388663593</v>
      </c>
    </row>
    <row r="55" spans="2:10" ht="18">
      <c r="B55" s="203"/>
      <c r="C55">
        <v>2</v>
      </c>
      <c r="D55" s="2">
        <v>137500</v>
      </c>
      <c r="E55" s="2">
        <f t="shared" ref="E55:E58" si="29">D55*$D$1</f>
        <v>13750000</v>
      </c>
      <c r="F55" s="8">
        <f t="shared" ref="F55:F58" si="30">E55*$E$1</f>
        <v>13750000</v>
      </c>
      <c r="G55" s="4">
        <f>E55/$D$8</f>
        <v>0.25</v>
      </c>
      <c r="H55" s="6">
        <f t="shared" ref="H55:H58" si="31">$H$53*G55</f>
        <v>174651.46797683049</v>
      </c>
      <c r="I55" s="6">
        <f t="shared" ref="I55:I58" si="32">H55*$I$53</f>
        <v>17465.14679768305</v>
      </c>
      <c r="J55" s="6">
        <f t="shared" ref="J55:J58" si="33">H55-I55</f>
        <v>157186.32117914743</v>
      </c>
    </row>
    <row r="56" spans="2:10" ht="18">
      <c r="B56" s="203"/>
      <c r="C56">
        <v>3</v>
      </c>
      <c r="D56" s="2">
        <v>82500</v>
      </c>
      <c r="E56" s="2">
        <f t="shared" si="29"/>
        <v>8250000</v>
      </c>
      <c r="F56" s="8">
        <f t="shared" si="30"/>
        <v>8250000</v>
      </c>
      <c r="G56" s="4">
        <f>E56/$D$8</f>
        <v>0.15</v>
      </c>
      <c r="H56" s="6">
        <f t="shared" si="31"/>
        <v>104790.88078609829</v>
      </c>
      <c r="I56" s="6">
        <f t="shared" si="32"/>
        <v>10479.08807860983</v>
      </c>
      <c r="J56" s="6">
        <f t="shared" si="33"/>
        <v>94311.792707488465</v>
      </c>
    </row>
    <row r="57" spans="2:10" ht="18">
      <c r="B57" s="203"/>
      <c r="C57">
        <v>4</v>
      </c>
      <c r="D57" s="2">
        <v>55000</v>
      </c>
      <c r="E57" s="2">
        <f t="shared" si="29"/>
        <v>5500000</v>
      </c>
      <c r="F57" s="8">
        <f t="shared" si="30"/>
        <v>5500000</v>
      </c>
      <c r="G57" s="4">
        <f>E57/$D$8</f>
        <v>0.1</v>
      </c>
      <c r="H57" s="6">
        <f t="shared" si="31"/>
        <v>69860.5871907322</v>
      </c>
      <c r="I57" s="6">
        <f t="shared" si="32"/>
        <v>6986.0587190732203</v>
      </c>
      <c r="J57" s="6">
        <f t="shared" si="33"/>
        <v>62874.528471658981</v>
      </c>
    </row>
    <row r="58" spans="2:10" ht="18">
      <c r="B58" s="203"/>
      <c r="C58">
        <v>5</v>
      </c>
      <c r="D58" s="2">
        <v>55000</v>
      </c>
      <c r="E58" s="2">
        <f t="shared" si="29"/>
        <v>5500000</v>
      </c>
      <c r="F58" s="8">
        <f t="shared" si="30"/>
        <v>5500000</v>
      </c>
      <c r="G58" s="4">
        <f>E58/$D$8</f>
        <v>0.1</v>
      </c>
      <c r="H58" s="6">
        <f t="shared" si="31"/>
        <v>69860.5871907322</v>
      </c>
      <c r="I58" s="6">
        <f t="shared" si="32"/>
        <v>6986.0587190732203</v>
      </c>
      <c r="J58" s="6">
        <f t="shared" si="33"/>
        <v>62874.528471658981</v>
      </c>
    </row>
    <row r="59" spans="2:10" ht="18">
      <c r="B59" s="203"/>
      <c r="C59" s="201" t="s">
        <v>14</v>
      </c>
      <c r="D59" s="3">
        <f>SUM(D54:D58)</f>
        <v>550000</v>
      </c>
      <c r="E59" s="191">
        <f t="shared" ref="E59" si="34">SUM(E54:E58)</f>
        <v>55000000</v>
      </c>
      <c r="F59" s="195">
        <f>SUM(F54:F58)</f>
        <v>55000000</v>
      </c>
      <c r="G59" s="193">
        <f>SUM(G54:G58)</f>
        <v>1</v>
      </c>
      <c r="H59" s="184">
        <f>SUM(H54:H58)</f>
        <v>698605.87190732209</v>
      </c>
      <c r="I59" s="184">
        <f t="shared" ref="I59:J59" si="35">SUM(I54:I58)</f>
        <v>69860.5871907322</v>
      </c>
      <c r="J59" s="184">
        <f t="shared" si="35"/>
        <v>628745.28471658973</v>
      </c>
    </row>
    <row r="65" spans="5:9" ht="21" customHeight="1">
      <c r="E65" s="201" t="s">
        <v>15</v>
      </c>
      <c r="F65" s="201" t="s">
        <v>2</v>
      </c>
      <c r="G65" s="201" t="s">
        <v>3</v>
      </c>
      <c r="H65" s="201" t="s">
        <v>4</v>
      </c>
      <c r="I65" s="201" t="s">
        <v>5</v>
      </c>
    </row>
    <row r="66" spans="5:9" ht="21" customHeight="1">
      <c r="E66" s="210" t="s">
        <v>6</v>
      </c>
      <c r="F66" s="3">
        <v>220000</v>
      </c>
      <c r="G66" s="212">
        <f>F66*$D$1</f>
        <v>22000000</v>
      </c>
      <c r="H66" s="213">
        <f>G66*$E$1</f>
        <v>22000000</v>
      </c>
      <c r="I66" s="211">
        <f>G66/$D$8</f>
        <v>0.4</v>
      </c>
    </row>
    <row r="67" spans="5:9" ht="21" customHeight="1">
      <c r="E67" s="210" t="s">
        <v>7</v>
      </c>
      <c r="F67" s="3">
        <v>137500</v>
      </c>
      <c r="G67" s="212">
        <f t="shared" ref="G67:G70" si="36">F67*$D$1</f>
        <v>13750000</v>
      </c>
      <c r="H67" s="213">
        <f t="shared" ref="H67:H70" si="37">G67*$E$1</f>
        <v>13750000</v>
      </c>
      <c r="I67" s="211">
        <f>G67/$D$8</f>
        <v>0.25</v>
      </c>
    </row>
    <row r="68" spans="5:9" ht="21" customHeight="1">
      <c r="E68" s="210" t="s">
        <v>8</v>
      </c>
      <c r="F68" s="3">
        <v>82500</v>
      </c>
      <c r="G68" s="212">
        <f t="shared" si="36"/>
        <v>8250000</v>
      </c>
      <c r="H68" s="213">
        <f t="shared" si="37"/>
        <v>8250000</v>
      </c>
      <c r="I68" s="211">
        <f>G68/$D$8</f>
        <v>0.15</v>
      </c>
    </row>
    <row r="69" spans="5:9" ht="21" customHeight="1">
      <c r="E69" s="210" t="s">
        <v>9</v>
      </c>
      <c r="F69" s="3">
        <v>55000</v>
      </c>
      <c r="G69" s="212">
        <f t="shared" si="36"/>
        <v>5500000</v>
      </c>
      <c r="H69" s="213">
        <f t="shared" si="37"/>
        <v>5500000</v>
      </c>
      <c r="I69" s="211">
        <f>G69/$D$8</f>
        <v>0.1</v>
      </c>
    </row>
    <row r="70" spans="5:9" ht="21" customHeight="1">
      <c r="E70" s="210" t="s">
        <v>10</v>
      </c>
      <c r="F70" s="3">
        <v>55000</v>
      </c>
      <c r="G70" s="212">
        <f t="shared" si="36"/>
        <v>5500000</v>
      </c>
      <c r="H70" s="213">
        <f t="shared" si="37"/>
        <v>5500000</v>
      </c>
      <c r="I70" s="211">
        <f>G70/$D$8</f>
        <v>0.1</v>
      </c>
    </row>
    <row r="71" spans="5:9" ht="21" customHeight="1">
      <c r="E71" s="201" t="s">
        <v>14</v>
      </c>
      <c r="F71" s="214">
        <f>SUM(F66:F70)</f>
        <v>550000</v>
      </c>
      <c r="G71" s="214">
        <f t="shared" ref="G71" si="38">SUM(G66:G70)</f>
        <v>55000000</v>
      </c>
      <c r="H71" s="215">
        <f>SUM(H66:H70)</f>
        <v>55000000</v>
      </c>
      <c r="I71" s="216">
        <f>SUM(I66:I70)</f>
        <v>1</v>
      </c>
    </row>
    <row r="72" spans="5:9">
      <c r="E72" s="208"/>
      <c r="F72" s="208"/>
      <c r="G72" s="8"/>
      <c r="H72" s="209"/>
    </row>
    <row r="73" spans="5:9">
      <c r="E73" s="208"/>
      <c r="F73" s="208"/>
      <c r="G73" s="8"/>
      <c r="H73" s="209"/>
    </row>
    <row r="74" spans="5:9">
      <c r="F74" s="208"/>
      <c r="G74" s="208"/>
      <c r="H74" s="8"/>
      <c r="I74" s="20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D8C95-1A43-4FBA-A346-BE2F3974C3AA}">
  <sheetPr>
    <tabColor rgb="FFFF0000"/>
  </sheetPr>
  <dimension ref="A1:C14"/>
  <sheetViews>
    <sheetView workbookViewId="0">
      <selection activeCell="B13" sqref="B13"/>
    </sheetView>
  </sheetViews>
  <sheetFormatPr defaultRowHeight="14.25"/>
  <cols>
    <col min="1" max="1" width="1.875" bestFit="1" customWidth="1"/>
    <col min="2" max="2" width="66.625" bestFit="1" customWidth="1"/>
  </cols>
  <sheetData>
    <row r="1" spans="1:3" ht="24">
      <c r="A1" s="245" t="s">
        <v>404</v>
      </c>
      <c r="B1" s="266"/>
      <c r="C1" s="10"/>
    </row>
    <row r="2" spans="1:3" ht="24">
      <c r="A2" s="11">
        <v>1</v>
      </c>
      <c r="B2" s="10" t="s">
        <v>405</v>
      </c>
      <c r="C2" s="10"/>
    </row>
    <row r="3" spans="1:3" ht="24">
      <c r="A3" s="11">
        <v>2</v>
      </c>
      <c r="B3" s="10" t="s">
        <v>406</v>
      </c>
      <c r="C3" s="10"/>
    </row>
    <row r="4" spans="1:3" ht="24">
      <c r="A4" s="11">
        <v>3</v>
      </c>
      <c r="B4" s="12" t="s">
        <v>407</v>
      </c>
      <c r="C4" s="10"/>
    </row>
    <row r="5" spans="1:3" ht="24">
      <c r="A5" s="11"/>
      <c r="B5" s="12" t="s">
        <v>408</v>
      </c>
      <c r="C5" s="10"/>
    </row>
    <row r="6" spans="1:3" ht="24">
      <c r="A6" s="11">
        <v>4</v>
      </c>
      <c r="B6" s="10" t="s">
        <v>409</v>
      </c>
      <c r="C6" s="10"/>
    </row>
    <row r="7" spans="1:3" ht="24">
      <c r="A7" s="11"/>
      <c r="B7" s="10" t="s">
        <v>410</v>
      </c>
      <c r="C7" s="10"/>
    </row>
    <row r="8" spans="1:3" ht="24">
      <c r="A8" s="11"/>
      <c r="B8" s="10" t="s">
        <v>411</v>
      </c>
      <c r="C8" s="10"/>
    </row>
    <row r="9" spans="1:3" ht="24">
      <c r="A9" s="11">
        <v>5</v>
      </c>
      <c r="B9" s="10" t="s">
        <v>412</v>
      </c>
      <c r="C9" s="10"/>
    </row>
    <row r="10" spans="1:3" ht="24">
      <c r="A10" s="11">
        <v>6</v>
      </c>
      <c r="B10" s="10" t="s">
        <v>413</v>
      </c>
      <c r="C10" s="10"/>
    </row>
    <row r="11" spans="1:3" ht="24">
      <c r="A11" s="11"/>
      <c r="B11" s="10" t="s">
        <v>414</v>
      </c>
      <c r="C11" s="10"/>
    </row>
    <row r="12" spans="1:3" ht="24">
      <c r="A12" s="10"/>
      <c r="B12" s="10"/>
      <c r="C12" s="10"/>
    </row>
    <row r="13" spans="1:3" ht="24">
      <c r="A13" s="10"/>
      <c r="B13" s="13" t="s">
        <v>415</v>
      </c>
      <c r="C13" s="10"/>
    </row>
    <row r="14" spans="1:3" ht="24">
      <c r="A14" s="10"/>
      <c r="B14" s="14"/>
      <c r="C14" s="10"/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21F5-9DA5-4390-82E3-D2A55A1823CB}">
  <sheetPr>
    <tabColor rgb="FF00B050"/>
  </sheetPr>
  <dimension ref="A1:E20"/>
  <sheetViews>
    <sheetView workbookViewId="0">
      <selection activeCell="C14" sqref="C14"/>
    </sheetView>
  </sheetViews>
  <sheetFormatPr defaultRowHeight="14.25"/>
  <cols>
    <col min="1" max="1" width="39.75" bestFit="1" customWidth="1"/>
    <col min="2" max="3" width="13.375" bestFit="1" customWidth="1"/>
    <col min="4" max="4" width="12.375" bestFit="1" customWidth="1"/>
  </cols>
  <sheetData>
    <row r="1" spans="1:5" ht="24">
      <c r="A1" s="15" t="s">
        <v>416</v>
      </c>
      <c r="B1" s="246" t="s">
        <v>415</v>
      </c>
      <c r="C1" s="246"/>
      <c r="D1" s="246"/>
      <c r="E1" s="16"/>
    </row>
    <row r="2" spans="1:5" ht="24">
      <c r="A2" s="247" t="s">
        <v>417</v>
      </c>
      <c r="B2" s="267"/>
      <c r="C2" s="267"/>
      <c r="D2" s="267"/>
      <c r="E2" s="16"/>
    </row>
    <row r="3" spans="1:5" ht="24">
      <c r="A3" s="248" t="s">
        <v>291</v>
      </c>
      <c r="B3" s="249" t="s">
        <v>14</v>
      </c>
      <c r="C3" s="250" t="s">
        <v>418</v>
      </c>
      <c r="D3" s="251"/>
      <c r="E3" s="16"/>
    </row>
    <row r="4" spans="1:5" ht="24">
      <c r="A4" s="268"/>
      <c r="B4" s="268"/>
      <c r="C4" s="17" t="s">
        <v>419</v>
      </c>
      <c r="D4" s="18" t="s">
        <v>420</v>
      </c>
      <c r="E4" s="16"/>
    </row>
    <row r="5" spans="1:5" ht="24">
      <c r="A5" s="19" t="s">
        <v>421</v>
      </c>
      <c r="B5" s="20"/>
      <c r="C5" s="21"/>
      <c r="D5" s="22"/>
      <c r="E5" s="16"/>
    </row>
    <row r="6" spans="1:5" ht="24">
      <c r="A6" s="22" t="s">
        <v>422</v>
      </c>
      <c r="B6" s="21">
        <f>C6+D6</f>
        <v>916000</v>
      </c>
      <c r="C6" s="23">
        <f>'costv.1.1'!C74</f>
        <v>916000</v>
      </c>
      <c r="D6" s="23"/>
      <c r="E6" s="16"/>
    </row>
    <row r="7" spans="1:5" ht="24">
      <c r="A7" s="22" t="s">
        <v>423</v>
      </c>
      <c r="B7" s="21">
        <f t="shared" ref="B7:B10" si="0">C7+D7</f>
        <v>732000</v>
      </c>
      <c r="C7" s="23">
        <f>'costv.1.1'!C73</f>
        <v>732000</v>
      </c>
      <c r="D7" s="23"/>
      <c r="E7" s="16"/>
    </row>
    <row r="8" spans="1:5" ht="24">
      <c r="A8" s="22" t="s">
        <v>424</v>
      </c>
      <c r="B8" s="21">
        <f>C8+D8</f>
        <v>900000</v>
      </c>
      <c r="C8" s="23">
        <f>'costv.1.1'!C75</f>
        <v>900000</v>
      </c>
      <c r="D8" s="23">
        <v>0</v>
      </c>
      <c r="E8" s="16"/>
    </row>
    <row r="9" spans="1:5" ht="24">
      <c r="A9" s="22" t="s">
        <v>425</v>
      </c>
      <c r="B9" s="21">
        <f t="shared" si="0"/>
        <v>93000</v>
      </c>
      <c r="C9" s="23">
        <f>'costv.1.1'!C76</f>
        <v>93000</v>
      </c>
      <c r="D9" s="23">
        <v>0</v>
      </c>
      <c r="E9" s="16"/>
    </row>
    <row r="10" spans="1:5" ht="24">
      <c r="A10" s="235" t="s">
        <v>426</v>
      </c>
      <c r="B10" s="236">
        <f t="shared" si="0"/>
        <v>1044986</v>
      </c>
      <c r="C10" s="237">
        <f>'costv.1.1'!C77</f>
        <v>1044986</v>
      </c>
      <c r="D10" s="237">
        <v>0</v>
      </c>
      <c r="E10" s="16"/>
    </row>
    <row r="11" spans="1:5" ht="24">
      <c r="A11" s="239" t="s">
        <v>427</v>
      </c>
      <c r="B11" s="242">
        <f>SUM(B6:B10)</f>
        <v>3685986</v>
      </c>
      <c r="C11" s="240"/>
      <c r="D11" s="238"/>
      <c r="E11" s="16"/>
    </row>
    <row r="12" spans="1:5" ht="24">
      <c r="A12" s="19" t="s">
        <v>428</v>
      </c>
      <c r="B12" s="241"/>
      <c r="C12" s="21"/>
      <c r="D12" s="22"/>
      <c r="E12" s="16"/>
    </row>
    <row r="13" spans="1:5" ht="24">
      <c r="A13" s="22" t="s">
        <v>429</v>
      </c>
      <c r="B13" s="21">
        <f>D13+C13</f>
        <v>368598.60000000003</v>
      </c>
      <c r="C13" s="23">
        <f>'costv.1.1'!C79</f>
        <v>368598.60000000003</v>
      </c>
      <c r="D13" s="23">
        <v>0</v>
      </c>
      <c r="E13" s="16"/>
    </row>
    <row r="14" spans="1:5" ht="24">
      <c r="A14" s="22"/>
      <c r="B14" s="21">
        <f t="shared" ref="B14" si="1">D14+C14</f>
        <v>0</v>
      </c>
      <c r="C14" s="23">
        <v>0</v>
      </c>
      <c r="D14" s="23"/>
      <c r="E14" s="16"/>
    </row>
    <row r="15" spans="1:5" ht="24">
      <c r="A15" s="26" t="s">
        <v>430</v>
      </c>
      <c r="B15" s="27">
        <f>SUM(B13:B14)</f>
        <v>368598.60000000003</v>
      </c>
      <c r="C15" s="23"/>
      <c r="D15" s="23"/>
      <c r="E15" s="16"/>
    </row>
    <row r="16" spans="1:5" ht="24">
      <c r="A16" s="22" t="s">
        <v>431</v>
      </c>
      <c r="B16" s="21">
        <f>C16+D16</f>
        <v>0</v>
      </c>
      <c r="C16" s="23">
        <v>0</v>
      </c>
      <c r="D16" s="28">
        <v>0</v>
      </c>
      <c r="E16" s="16"/>
    </row>
    <row r="17" spans="1:5" ht="24">
      <c r="A17" s="19" t="s">
        <v>432</v>
      </c>
      <c r="B17" s="21">
        <f>C17+D17</f>
        <v>0</v>
      </c>
      <c r="C17" s="23">
        <v>0</v>
      </c>
      <c r="D17" s="28">
        <v>0</v>
      </c>
      <c r="E17" s="16"/>
    </row>
    <row r="18" spans="1:5" ht="24.75" thickBot="1">
      <c r="A18" s="29" t="s">
        <v>433</v>
      </c>
      <c r="B18" s="30">
        <f>D18+C18</f>
        <v>4054584.6</v>
      </c>
      <c r="C18" s="31">
        <f>SUM(C6:C17)</f>
        <v>4054584.6</v>
      </c>
      <c r="D18" s="31">
        <f>SUM(D6:D17)</f>
        <v>0</v>
      </c>
      <c r="E18" s="16"/>
    </row>
    <row r="19" spans="1:5" ht="24.75" thickBot="1">
      <c r="A19" s="32" t="s">
        <v>434</v>
      </c>
      <c r="B19" s="33">
        <f>B18/$B$18*100</f>
        <v>100</v>
      </c>
      <c r="C19" s="33">
        <f>C18/$B$18*100</f>
        <v>100</v>
      </c>
      <c r="D19" s="33">
        <f>D18/$B$18*100</f>
        <v>0</v>
      </c>
      <c r="E19" s="16"/>
    </row>
    <row r="20" spans="1:5" ht="24">
      <c r="E20" s="16"/>
    </row>
  </sheetData>
  <mergeCells count="5">
    <mergeCell ref="B1:D1"/>
    <mergeCell ref="A2:D2"/>
    <mergeCell ref="A3:A4"/>
    <mergeCell ref="B3:B4"/>
    <mergeCell ref="C3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13A9-A853-4163-A33B-7C51A759EB86}">
  <dimension ref="A1:I20"/>
  <sheetViews>
    <sheetView workbookViewId="0">
      <selection activeCell="B12" sqref="B12"/>
    </sheetView>
  </sheetViews>
  <sheetFormatPr defaultRowHeight="14.25"/>
  <cols>
    <col min="1" max="1" width="48.875" bestFit="1" customWidth="1"/>
    <col min="2" max="6" width="10.875" bestFit="1" customWidth="1"/>
  </cols>
  <sheetData>
    <row r="1" spans="1:9" ht="24">
      <c r="A1" s="252" t="s">
        <v>435</v>
      </c>
      <c r="B1" s="252"/>
      <c r="C1" s="253" t="s">
        <v>436</v>
      </c>
      <c r="D1" s="254"/>
      <c r="E1" s="254"/>
      <c r="F1" s="254"/>
      <c r="G1" s="34"/>
      <c r="H1" s="34"/>
      <c r="I1" s="34"/>
    </row>
    <row r="2" spans="1:9" ht="24">
      <c r="A2" s="24" t="s">
        <v>437</v>
      </c>
      <c r="B2" s="35" t="s">
        <v>438</v>
      </c>
      <c r="C2" s="35" t="s">
        <v>439</v>
      </c>
      <c r="D2" s="35" t="s">
        <v>440</v>
      </c>
      <c r="E2" s="35" t="s">
        <v>441</v>
      </c>
      <c r="F2" s="35" t="s">
        <v>442</v>
      </c>
      <c r="G2" s="16"/>
      <c r="H2" s="16"/>
      <c r="I2" s="16"/>
    </row>
    <row r="3" spans="1:9" ht="24">
      <c r="A3" s="24" t="str">
        <f>[1]งบประมาณการลงทุน!A11</f>
        <v>สินทรัพย์ไม่หมุนเวียนรวม</v>
      </c>
      <c r="B3" s="36">
        <f>'Inputs&amp;Assumptions'!B10</f>
        <v>4054584.6</v>
      </c>
      <c r="C3" s="37"/>
      <c r="D3" s="37"/>
      <c r="E3" s="37"/>
      <c r="F3" s="37"/>
      <c r="G3" s="16"/>
      <c r="H3" s="16"/>
      <c r="I3" s="16"/>
    </row>
    <row r="4" spans="1:9" ht="24">
      <c r="A4" s="22" t="s">
        <v>443</v>
      </c>
      <c r="B4" s="37">
        <f>B3/5</f>
        <v>810916.92</v>
      </c>
      <c r="C4" s="37">
        <f>B4</f>
        <v>810916.92</v>
      </c>
      <c r="D4" s="37">
        <f t="shared" ref="D4:F4" si="0">C4</f>
        <v>810916.92</v>
      </c>
      <c r="E4" s="37">
        <f t="shared" si="0"/>
        <v>810916.92</v>
      </c>
      <c r="F4" s="37">
        <f t="shared" si="0"/>
        <v>810916.92</v>
      </c>
      <c r="G4" s="16"/>
      <c r="H4" s="16"/>
      <c r="I4" s="16"/>
    </row>
    <row r="5" spans="1:9" ht="24">
      <c r="A5" s="22" t="s">
        <v>444</v>
      </c>
      <c r="B5" s="37">
        <f>B4</f>
        <v>810916.92</v>
      </c>
      <c r="C5" s="37">
        <f>C4+B5</f>
        <v>1621833.84</v>
      </c>
      <c r="D5" s="37">
        <f>D4+C5</f>
        <v>2432750.7600000002</v>
      </c>
      <c r="E5" s="37">
        <f t="shared" ref="E5:F5" si="1">E4+D5</f>
        <v>3243667.68</v>
      </c>
      <c r="F5" s="37">
        <f t="shared" si="1"/>
        <v>4054584.6</v>
      </c>
      <c r="G5" s="16"/>
      <c r="H5" s="16"/>
      <c r="I5" s="16"/>
    </row>
    <row r="6" spans="1:9" ht="24">
      <c r="A6" s="38" t="s">
        <v>445</v>
      </c>
      <c r="B6" s="39"/>
      <c r="C6" s="39"/>
      <c r="D6" s="39"/>
      <c r="E6" s="39"/>
      <c r="F6" s="39"/>
      <c r="G6" s="16"/>
      <c r="H6" s="16"/>
      <c r="I6" s="16"/>
    </row>
    <row r="7" spans="1:9" ht="24">
      <c r="A7" s="22" t="str">
        <f t="shared" ref="A7" si="2">A3</f>
        <v>สินทรัพย์ไม่หมุนเวียนรวม</v>
      </c>
      <c r="B7" s="37">
        <f>B3</f>
        <v>4054584.6</v>
      </c>
      <c r="C7" s="37">
        <f t="shared" ref="C7:F7" si="3">B7</f>
        <v>4054584.6</v>
      </c>
      <c r="D7" s="37">
        <f t="shared" si="3"/>
        <v>4054584.6</v>
      </c>
      <c r="E7" s="37">
        <f t="shared" si="3"/>
        <v>4054584.6</v>
      </c>
      <c r="F7" s="37">
        <f t="shared" si="3"/>
        <v>4054584.6</v>
      </c>
      <c r="G7" s="16"/>
      <c r="H7" s="16"/>
      <c r="I7" s="16"/>
    </row>
    <row r="8" spans="1:9" ht="24">
      <c r="A8" s="22" t="s">
        <v>446</v>
      </c>
      <c r="B8" s="37">
        <f t="shared" ref="B8:F8" si="4">B5</f>
        <v>810916.92</v>
      </c>
      <c r="C8" s="37">
        <f t="shared" si="4"/>
        <v>1621833.84</v>
      </c>
      <c r="D8" s="37">
        <f t="shared" si="4"/>
        <v>2432750.7600000002</v>
      </c>
      <c r="E8" s="37">
        <f t="shared" si="4"/>
        <v>3243667.68</v>
      </c>
      <c r="F8" s="37">
        <f t="shared" si="4"/>
        <v>4054584.6</v>
      </c>
      <c r="G8" s="16"/>
      <c r="H8" s="16"/>
      <c r="I8" s="16"/>
    </row>
    <row r="9" spans="1:9" ht="24">
      <c r="A9" s="24" t="s">
        <v>447</v>
      </c>
      <c r="B9" s="36">
        <f>B7-B8</f>
        <v>3243667.68</v>
      </c>
      <c r="C9" s="36">
        <f t="shared" ref="C9:E9" si="5">C7-C8</f>
        <v>2432750.7599999998</v>
      </c>
      <c r="D9" s="36">
        <f t="shared" si="5"/>
        <v>1621833.8399999999</v>
      </c>
      <c r="E9" s="36">
        <f t="shared" si="5"/>
        <v>810916.91999999993</v>
      </c>
      <c r="F9" s="36">
        <f>F7-F8</f>
        <v>0</v>
      </c>
      <c r="G9" s="16"/>
      <c r="H9" s="16"/>
      <c r="I9" s="16"/>
    </row>
    <row r="10" spans="1:9" ht="24">
      <c r="A10" s="16"/>
      <c r="B10" s="39"/>
      <c r="C10" s="39"/>
      <c r="D10" s="39"/>
      <c r="E10" s="39"/>
      <c r="F10" s="39"/>
      <c r="G10" s="16"/>
      <c r="H10" s="16"/>
      <c r="I10" s="16"/>
    </row>
    <row r="11" spans="1:9" ht="24">
      <c r="A11" s="24" t="s">
        <v>448</v>
      </c>
      <c r="B11" s="40" t="str">
        <f t="shared" ref="B11:F11" si="6">B2</f>
        <v>ปีที่ 1</v>
      </c>
      <c r="C11" s="40" t="str">
        <f t="shared" si="6"/>
        <v>ปีที่ 2</v>
      </c>
      <c r="D11" s="40" t="str">
        <f t="shared" si="6"/>
        <v>ปีที่ 3</v>
      </c>
      <c r="E11" s="40" t="str">
        <f t="shared" si="6"/>
        <v>ปีที่ 4</v>
      </c>
      <c r="F11" s="40" t="str">
        <f t="shared" si="6"/>
        <v>ปีที่ 5</v>
      </c>
      <c r="G11" s="16"/>
      <c r="H11" s="16"/>
      <c r="I11" s="16"/>
    </row>
    <row r="12" spans="1:9" ht="24">
      <c r="A12" s="41" t="s">
        <v>428</v>
      </c>
      <c r="B12" s="37">
        <f>งบประมาณการลงทุน!B15</f>
        <v>368598.60000000003</v>
      </c>
      <c r="C12" s="37"/>
      <c r="D12" s="37"/>
      <c r="E12" s="37"/>
      <c r="F12" s="37"/>
      <c r="G12" s="16"/>
      <c r="H12" s="16"/>
      <c r="I12" s="16"/>
    </row>
    <row r="13" spans="1:9" ht="24">
      <c r="A13" s="22" t="s">
        <v>448</v>
      </c>
      <c r="B13" s="37">
        <f>B12/5</f>
        <v>73719.72</v>
      </c>
      <c r="C13" s="37">
        <f t="shared" ref="C13:F13" si="7">B13</f>
        <v>73719.72</v>
      </c>
      <c r="D13" s="37">
        <f t="shared" si="7"/>
        <v>73719.72</v>
      </c>
      <c r="E13" s="37">
        <f t="shared" si="7"/>
        <v>73719.72</v>
      </c>
      <c r="F13" s="37">
        <f t="shared" si="7"/>
        <v>73719.72</v>
      </c>
      <c r="G13" s="16"/>
      <c r="H13" s="16"/>
      <c r="I13" s="16"/>
    </row>
    <row r="14" spans="1:9" ht="24">
      <c r="A14" s="22" t="s">
        <v>449</v>
      </c>
      <c r="B14" s="37">
        <f>B13</f>
        <v>73719.72</v>
      </c>
      <c r="C14" s="37">
        <f t="shared" ref="C14:F14" si="8">B14+C13</f>
        <v>147439.44</v>
      </c>
      <c r="D14" s="37">
        <f t="shared" si="8"/>
        <v>221159.16</v>
      </c>
      <c r="E14" s="37">
        <f t="shared" si="8"/>
        <v>294878.88</v>
      </c>
      <c r="F14" s="37">
        <f t="shared" si="8"/>
        <v>368598.6</v>
      </c>
      <c r="G14" s="16"/>
      <c r="H14" s="16"/>
      <c r="I14" s="16"/>
    </row>
    <row r="15" spans="1:9" ht="24">
      <c r="A15" s="38" t="s">
        <v>445</v>
      </c>
      <c r="B15" s="39"/>
      <c r="C15" s="39"/>
      <c r="D15" s="39"/>
      <c r="E15" s="39"/>
      <c r="F15" s="39"/>
      <c r="G15" s="16"/>
      <c r="H15" s="16"/>
      <c r="I15" s="16"/>
    </row>
    <row r="16" spans="1:9" ht="24">
      <c r="A16" s="22" t="str">
        <f t="shared" ref="A16:B16" si="9">A12</f>
        <v>ค่าใช้จ่ายก่อนเริ่มดำเนินงาน</v>
      </c>
      <c r="B16" s="37">
        <f t="shared" si="9"/>
        <v>368598.60000000003</v>
      </c>
      <c r="C16" s="37">
        <f t="shared" ref="C16:F16" si="10">B16</f>
        <v>368598.60000000003</v>
      </c>
      <c r="D16" s="37">
        <f t="shared" si="10"/>
        <v>368598.60000000003</v>
      </c>
      <c r="E16" s="37">
        <f t="shared" si="10"/>
        <v>368598.60000000003</v>
      </c>
      <c r="F16" s="37">
        <f t="shared" si="10"/>
        <v>368598.60000000003</v>
      </c>
      <c r="G16" s="16"/>
      <c r="H16" s="16"/>
      <c r="I16" s="16"/>
    </row>
    <row r="17" spans="1:9" ht="24">
      <c r="A17" s="22" t="s">
        <v>450</v>
      </c>
      <c r="B17" s="37">
        <f t="shared" ref="B17:F17" si="11">B14</f>
        <v>73719.72</v>
      </c>
      <c r="C17" s="37">
        <f t="shared" si="11"/>
        <v>147439.44</v>
      </c>
      <c r="D17" s="37">
        <f t="shared" si="11"/>
        <v>221159.16</v>
      </c>
      <c r="E17" s="37">
        <f t="shared" si="11"/>
        <v>294878.88</v>
      </c>
      <c r="F17" s="37">
        <f t="shared" si="11"/>
        <v>368598.6</v>
      </c>
      <c r="G17" s="16"/>
      <c r="H17" s="16"/>
      <c r="I17" s="16"/>
    </row>
    <row r="18" spans="1:9" ht="24">
      <c r="A18" s="42" t="s">
        <v>451</v>
      </c>
      <c r="B18" s="43">
        <f t="shared" ref="B18:C18" si="12">B16-B17</f>
        <v>294878.88</v>
      </c>
      <c r="C18" s="43">
        <f t="shared" si="12"/>
        <v>221159.16000000003</v>
      </c>
      <c r="D18" s="43">
        <f>D16-D17</f>
        <v>147439.44000000003</v>
      </c>
      <c r="E18" s="43">
        <f>E16-E17</f>
        <v>73719.72000000003</v>
      </c>
      <c r="F18" s="43">
        <f>F16-F17</f>
        <v>0</v>
      </c>
      <c r="G18" s="16"/>
      <c r="H18" s="16"/>
      <c r="I18" s="16"/>
    </row>
    <row r="19" spans="1:9" ht="24">
      <c r="A19" s="16"/>
      <c r="B19" s="39"/>
      <c r="C19" s="39"/>
      <c r="D19" s="39"/>
      <c r="E19" s="39"/>
      <c r="F19" s="39"/>
      <c r="G19" s="16"/>
      <c r="H19" s="16"/>
      <c r="I19" s="16"/>
    </row>
    <row r="20" spans="1:9" ht="24">
      <c r="A20" s="16"/>
      <c r="B20" s="39"/>
      <c r="C20" s="39"/>
      <c r="D20" s="39"/>
      <c r="E20" s="39"/>
      <c r="F20" s="39"/>
      <c r="G20" s="16"/>
      <c r="H20" s="16"/>
      <c r="I20" s="16"/>
    </row>
  </sheetData>
  <mergeCells count="2">
    <mergeCell ref="A1:B1"/>
    <mergeCell ref="C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0C3D-3D32-4517-87C8-B3DC6CF0CFA4}">
  <sheetPr>
    <tabColor rgb="FF00B050"/>
  </sheetPr>
  <dimension ref="A1:J20"/>
  <sheetViews>
    <sheetView workbookViewId="0">
      <selection activeCell="B8" sqref="B8"/>
    </sheetView>
  </sheetViews>
  <sheetFormatPr defaultRowHeight="14.25"/>
  <cols>
    <col min="1" max="1" width="37.25" bestFit="1" customWidth="1"/>
    <col min="2" max="6" width="7.5" bestFit="1" customWidth="1"/>
    <col min="10" max="10" width="10.375" bestFit="1" customWidth="1"/>
  </cols>
  <sheetData>
    <row r="1" spans="1:10" ht="30">
      <c r="A1" s="44" t="s">
        <v>452</v>
      </c>
      <c r="B1" s="255" t="s">
        <v>415</v>
      </c>
      <c r="C1" s="255"/>
      <c r="D1" s="255"/>
      <c r="E1" s="255"/>
      <c r="F1" s="255"/>
      <c r="G1" s="16"/>
    </row>
    <row r="2" spans="1:10" ht="30">
      <c r="A2" s="44" t="s">
        <v>453</v>
      </c>
      <c r="B2" s="45"/>
      <c r="C2" s="45"/>
      <c r="D2" s="45"/>
      <c r="E2" s="45"/>
      <c r="F2" s="45"/>
      <c r="G2" s="16"/>
    </row>
    <row r="3" spans="1:10" ht="24">
      <c r="A3" s="46" t="s">
        <v>452</v>
      </c>
      <c r="B3" s="47" t="s">
        <v>438</v>
      </c>
      <c r="C3" s="47" t="s">
        <v>454</v>
      </c>
      <c r="D3" s="47" t="s">
        <v>455</v>
      </c>
      <c r="E3" s="47" t="s">
        <v>441</v>
      </c>
      <c r="F3" s="47" t="s">
        <v>442</v>
      </c>
      <c r="G3" s="16"/>
    </row>
    <row r="4" spans="1:10" ht="24">
      <c r="A4" s="22" t="s">
        <v>456</v>
      </c>
      <c r="B4" s="48">
        <f>'Inputs&amp;Assumptions'!E3</f>
        <v>88.3</v>
      </c>
      <c r="C4" s="49">
        <f>B4*(1+$B$8)</f>
        <v>94.821293826892557</v>
      </c>
      <c r="D4" s="49">
        <f>C4*(1+$B$8)</f>
        <v>101.8242102265673</v>
      </c>
      <c r="E4" s="49">
        <f t="shared" ref="E4:F4" si="0">D4*(1+$B$8)</f>
        <v>109.34431887411796</v>
      </c>
      <c r="F4" s="49">
        <f t="shared" si="0"/>
        <v>117.41981640163276</v>
      </c>
      <c r="G4" s="16"/>
    </row>
    <row r="5" spans="1:10" ht="24">
      <c r="A5" s="22" t="s">
        <v>457</v>
      </c>
      <c r="B5" s="50">
        <f t="shared" ref="B5:F5" si="1">B4*30</f>
        <v>2649</v>
      </c>
      <c r="C5" s="37">
        <f>C4*30</f>
        <v>2844.6388148067767</v>
      </c>
      <c r="D5" s="37">
        <f t="shared" si="1"/>
        <v>3054.7263067970189</v>
      </c>
      <c r="E5" s="37">
        <f t="shared" si="1"/>
        <v>3280.3295662235387</v>
      </c>
      <c r="F5" s="37">
        <f t="shared" si="1"/>
        <v>3522.5944920489828</v>
      </c>
      <c r="G5" s="16"/>
    </row>
    <row r="6" spans="1:10" ht="24">
      <c r="A6" s="26" t="s">
        <v>458</v>
      </c>
      <c r="B6" s="51">
        <f>B5*12</f>
        <v>31788</v>
      </c>
      <c r="C6" s="51">
        <f t="shared" ref="C6:F6" si="2">C5*12</f>
        <v>34135.665777681323</v>
      </c>
      <c r="D6" s="51">
        <f t="shared" si="2"/>
        <v>36656.715681564223</v>
      </c>
      <c r="E6" s="51">
        <f t="shared" si="2"/>
        <v>39363.95479468246</v>
      </c>
      <c r="F6" s="51">
        <f t="shared" si="2"/>
        <v>42271.133904587798</v>
      </c>
      <c r="G6" s="16"/>
    </row>
    <row r="7" spans="1:10" ht="24">
      <c r="A7" s="16"/>
      <c r="B7" s="39"/>
      <c r="C7" s="39"/>
      <c r="D7" s="39"/>
      <c r="E7" s="39"/>
      <c r="F7" s="39"/>
      <c r="G7" s="16"/>
    </row>
    <row r="8" spans="1:10" ht="24">
      <c r="A8" s="16" t="s">
        <v>459</v>
      </c>
      <c r="B8" s="243">
        <f>'Monthly_P&amp;L_12M'!AC49</f>
        <v>7.3853837224151217E-2</v>
      </c>
      <c r="C8" s="39"/>
      <c r="D8" s="39"/>
      <c r="E8" s="39"/>
      <c r="F8" s="39"/>
      <c r="G8" s="16"/>
      <c r="J8" s="159"/>
    </row>
    <row r="9" spans="1:10" ht="24">
      <c r="A9" s="16"/>
      <c r="B9" s="39"/>
      <c r="C9" s="39"/>
      <c r="D9" s="39"/>
      <c r="E9" s="39"/>
      <c r="F9" s="39"/>
      <c r="G9" s="16"/>
    </row>
    <row r="10" spans="1:10" ht="24">
      <c r="A10" s="16" t="s">
        <v>460</v>
      </c>
      <c r="B10" s="39"/>
      <c r="C10" s="39"/>
      <c r="D10" s="39"/>
      <c r="E10" s="39"/>
      <c r="F10" s="39"/>
      <c r="G10" s="16"/>
    </row>
    <row r="11" spans="1:10" ht="24">
      <c r="A11" s="26" t="s">
        <v>452</v>
      </c>
      <c r="B11" s="53" t="s">
        <v>438</v>
      </c>
      <c r="C11" s="53" t="s">
        <v>454</v>
      </c>
      <c r="D11" s="53" t="s">
        <v>455</v>
      </c>
      <c r="E11" s="53" t="s">
        <v>441</v>
      </c>
      <c r="F11" s="53" t="s">
        <v>442</v>
      </c>
      <c r="G11" s="16"/>
    </row>
    <row r="12" spans="1:10" ht="24">
      <c r="A12" s="22" t="s">
        <v>456</v>
      </c>
      <c r="B12" s="54">
        <v>0</v>
      </c>
      <c r="C12" s="37">
        <f>B12*(1+$B$16)</f>
        <v>0</v>
      </c>
      <c r="D12" s="37">
        <f t="shared" ref="D12:F12" si="3">C12*(1+$B$16)</f>
        <v>0</v>
      </c>
      <c r="E12" s="37">
        <f t="shared" si="3"/>
        <v>0</v>
      </c>
      <c r="F12" s="37">
        <f t="shared" si="3"/>
        <v>0</v>
      </c>
      <c r="G12" s="16"/>
    </row>
    <row r="13" spans="1:10" ht="24">
      <c r="A13" s="22" t="s">
        <v>457</v>
      </c>
      <c r="B13" s="50">
        <f t="shared" ref="B13:F13" si="4">B12*30</f>
        <v>0</v>
      </c>
      <c r="C13" s="37">
        <f t="shared" si="4"/>
        <v>0</v>
      </c>
      <c r="D13" s="37">
        <f t="shared" si="4"/>
        <v>0</v>
      </c>
      <c r="E13" s="37">
        <f t="shared" si="4"/>
        <v>0</v>
      </c>
      <c r="F13" s="37">
        <f t="shared" si="4"/>
        <v>0</v>
      </c>
      <c r="G13" s="16"/>
    </row>
    <row r="14" spans="1:10" ht="24">
      <c r="A14" s="26" t="s">
        <v>458</v>
      </c>
      <c r="B14" s="51">
        <f>B13*12</f>
        <v>0</v>
      </c>
      <c r="C14" s="51">
        <f t="shared" ref="C14:F14" si="5">C13*12</f>
        <v>0</v>
      </c>
      <c r="D14" s="51">
        <f t="shared" si="5"/>
        <v>0</v>
      </c>
      <c r="E14" s="51">
        <f t="shared" si="5"/>
        <v>0</v>
      </c>
      <c r="F14" s="51">
        <f t="shared" si="5"/>
        <v>0</v>
      </c>
      <c r="G14" s="16"/>
    </row>
    <row r="15" spans="1:10" ht="24">
      <c r="A15" s="16"/>
      <c r="B15" s="39"/>
      <c r="C15" s="39"/>
      <c r="D15" s="39"/>
      <c r="E15" s="39"/>
      <c r="F15" s="39"/>
      <c r="G15" s="16"/>
    </row>
    <row r="16" spans="1:10" ht="24">
      <c r="A16" s="16" t="s">
        <v>459</v>
      </c>
      <c r="B16" s="52">
        <v>0</v>
      </c>
      <c r="C16" s="39"/>
      <c r="D16" s="39"/>
      <c r="E16" s="39"/>
      <c r="F16" s="39"/>
      <c r="G16" s="16"/>
    </row>
    <row r="17" spans="1:7" ht="24">
      <c r="A17" s="55" t="s">
        <v>452</v>
      </c>
      <c r="B17" s="56" t="s">
        <v>438</v>
      </c>
      <c r="C17" s="56" t="s">
        <v>454</v>
      </c>
      <c r="D17" s="56" t="s">
        <v>455</v>
      </c>
      <c r="E17" s="56" t="s">
        <v>441</v>
      </c>
      <c r="F17" s="56" t="s">
        <v>442</v>
      </c>
      <c r="G17" s="16"/>
    </row>
    <row r="18" spans="1:7" ht="24">
      <c r="A18" s="57" t="s">
        <v>461</v>
      </c>
      <c r="B18" s="58">
        <f>B6+B14</f>
        <v>31788</v>
      </c>
      <c r="C18" s="58">
        <f>C6+C14</f>
        <v>34135.665777681323</v>
      </c>
      <c r="D18" s="58">
        <f t="shared" ref="C18:F18" si="6">D6+D14</f>
        <v>36656.715681564223</v>
      </c>
      <c r="E18" s="58">
        <f t="shared" si="6"/>
        <v>39363.95479468246</v>
      </c>
      <c r="F18" s="58">
        <f t="shared" si="6"/>
        <v>42271.133904587798</v>
      </c>
      <c r="G18" s="16"/>
    </row>
    <row r="19" spans="1:7" ht="24">
      <c r="A19" s="16"/>
      <c r="B19" s="39"/>
      <c r="C19" s="39"/>
      <c r="D19" s="39"/>
      <c r="E19" s="39"/>
      <c r="F19" s="39"/>
      <c r="G19" s="16"/>
    </row>
    <row r="20" spans="1:7" ht="24">
      <c r="A20" s="16"/>
      <c r="B20" s="39"/>
      <c r="C20" s="39"/>
      <c r="D20" s="39"/>
      <c r="E20" s="39"/>
      <c r="F20" s="39"/>
      <c r="G20" s="16"/>
    </row>
  </sheetData>
  <mergeCells count="1">
    <mergeCell ref="B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A6D4-DA9C-4054-B05C-8DCDDE02D3CC}">
  <sheetPr>
    <tabColor rgb="FF00B050"/>
  </sheetPr>
  <dimension ref="A1:G23"/>
  <sheetViews>
    <sheetView topLeftCell="A4" workbookViewId="0">
      <selection activeCell="B7" sqref="B7"/>
    </sheetView>
  </sheetViews>
  <sheetFormatPr defaultRowHeight="14.25"/>
  <cols>
    <col min="1" max="1" width="41.375" bestFit="1" customWidth="1"/>
    <col min="2" max="2" width="7.5" bestFit="1" customWidth="1"/>
    <col min="3" max="3" width="16.875" bestFit="1" customWidth="1"/>
    <col min="4" max="6" width="7.5" bestFit="1" customWidth="1"/>
  </cols>
  <sheetData>
    <row r="1" spans="1:7" ht="30">
      <c r="A1" s="34" t="s">
        <v>462</v>
      </c>
      <c r="B1" s="256" t="s">
        <v>415</v>
      </c>
      <c r="C1" s="256"/>
      <c r="D1" s="256"/>
      <c r="E1" s="256"/>
      <c r="F1" s="256"/>
      <c r="G1" s="34"/>
    </row>
    <row r="2" spans="1:7" ht="24">
      <c r="A2" s="59" t="s">
        <v>463</v>
      </c>
      <c r="B2" s="35" t="s">
        <v>438</v>
      </c>
      <c r="C2" s="35" t="s">
        <v>439</v>
      </c>
      <c r="D2" s="35" t="s">
        <v>440</v>
      </c>
      <c r="E2" s="35" t="s">
        <v>441</v>
      </c>
      <c r="F2" s="35" t="s">
        <v>442</v>
      </c>
      <c r="G2" s="16"/>
    </row>
    <row r="3" spans="1:7" ht="24">
      <c r="A3" s="36" t="s">
        <v>458</v>
      </c>
      <c r="B3" s="36">
        <f>การประมาณการยอดขาย!B18</f>
        <v>31788</v>
      </c>
      <c r="C3" s="36">
        <f>การประมาณการยอดขาย!C18</f>
        <v>34135.665777681323</v>
      </c>
      <c r="D3" s="36">
        <f>การประมาณการยอดขาย!D18</f>
        <v>36656.715681564223</v>
      </c>
      <c r="E3" s="36">
        <f>การประมาณการยอดขาย!E18</f>
        <v>39363.95479468246</v>
      </c>
      <c r="F3" s="36">
        <f>การประมาณการยอดขาย!F18</f>
        <v>42271.133904587798</v>
      </c>
      <c r="G3" s="16"/>
    </row>
    <row r="4" spans="1:7" ht="24">
      <c r="A4" s="60" t="s">
        <v>464</v>
      </c>
      <c r="B4" s="61"/>
      <c r="C4" s="61"/>
      <c r="D4" s="61"/>
      <c r="E4" s="61"/>
      <c r="F4" s="61"/>
      <c r="G4" s="16"/>
    </row>
    <row r="5" spans="1:7" ht="24">
      <c r="A5" s="16" t="s">
        <v>465</v>
      </c>
      <c r="B5" s="62">
        <f>'Monthly_P&amp;L_12M'!R12</f>
        <v>0.57426605504587147</v>
      </c>
      <c r="C5" s="63" t="s">
        <v>466</v>
      </c>
      <c r="D5" s="39"/>
      <c r="E5" s="39"/>
      <c r="F5" s="39"/>
      <c r="G5" s="16"/>
    </row>
    <row r="6" spans="1:7" ht="24">
      <c r="A6" s="16" t="s">
        <v>467</v>
      </c>
      <c r="B6" s="64">
        <v>2</v>
      </c>
      <c r="C6" s="63" t="s">
        <v>285</v>
      </c>
      <c r="D6" s="39"/>
      <c r="E6" s="39"/>
      <c r="F6" s="39"/>
      <c r="G6" s="16"/>
    </row>
    <row r="7" spans="1:7" ht="24">
      <c r="A7" s="16" t="s">
        <v>468</v>
      </c>
      <c r="B7" s="64">
        <v>365</v>
      </c>
      <c r="C7" s="63" t="s">
        <v>285</v>
      </c>
      <c r="D7" s="39"/>
      <c r="E7" s="39"/>
      <c r="F7" s="39"/>
      <c r="G7" s="16"/>
    </row>
    <row r="8" spans="1:7" ht="24">
      <c r="A8" s="24" t="s">
        <v>469</v>
      </c>
      <c r="B8" s="35" t="s">
        <v>438</v>
      </c>
      <c r="C8" s="35" t="s">
        <v>439</v>
      </c>
      <c r="D8" s="35" t="s">
        <v>440</v>
      </c>
      <c r="E8" s="35" t="s">
        <v>441</v>
      </c>
      <c r="F8" s="35" t="s">
        <v>442</v>
      </c>
      <c r="G8" s="16"/>
    </row>
    <row r="9" spans="1:7" ht="24">
      <c r="A9" s="65" t="str">
        <f t="shared" ref="A9:F9" si="0">A3</f>
        <v>ยอดขายต่อปี</v>
      </c>
      <c r="B9" s="37">
        <f t="shared" si="0"/>
        <v>31788</v>
      </c>
      <c r="C9" s="37">
        <f t="shared" si="0"/>
        <v>34135.665777681323</v>
      </c>
      <c r="D9" s="37">
        <f t="shared" si="0"/>
        <v>36656.715681564223</v>
      </c>
      <c r="E9" s="37">
        <f t="shared" si="0"/>
        <v>39363.95479468246</v>
      </c>
      <c r="F9" s="37">
        <f t="shared" si="0"/>
        <v>42271.133904587798</v>
      </c>
      <c r="G9" s="16"/>
    </row>
    <row r="10" spans="1:7" ht="24">
      <c r="A10" s="66" t="s">
        <v>470</v>
      </c>
      <c r="B10" s="37">
        <f>B9/$B$7</f>
        <v>87.090410958904116</v>
      </c>
      <c r="C10" s="37">
        <f t="shared" ref="C10:F10" si="1">C9/$B$7</f>
        <v>93.522371993647454</v>
      </c>
      <c r="D10" s="37">
        <f t="shared" si="1"/>
        <v>100.4293580316828</v>
      </c>
      <c r="E10" s="37">
        <f t="shared" si="1"/>
        <v>107.84645149228071</v>
      </c>
      <c r="F10" s="37">
        <f t="shared" si="1"/>
        <v>115.81132576599397</v>
      </c>
      <c r="G10" s="16"/>
    </row>
    <row r="11" spans="1:7" ht="24">
      <c r="A11" s="67" t="s">
        <v>465</v>
      </c>
      <c r="B11" s="68">
        <f t="shared" ref="B11:F11" si="2">B10*$B$5</f>
        <v>50.013066733693599</v>
      </c>
      <c r="C11" s="68">
        <f t="shared" si="2"/>
        <v>53.706723623324415</v>
      </c>
      <c r="D11" s="68">
        <f t="shared" si="2"/>
        <v>57.673171247643886</v>
      </c>
      <c r="E11" s="68">
        <f t="shared" si="2"/>
        <v>61.93255624916798</v>
      </c>
      <c r="F11" s="68">
        <f t="shared" si="2"/>
        <v>66.506513177269653</v>
      </c>
      <c r="G11" s="16"/>
    </row>
    <row r="12" spans="1:7" ht="24">
      <c r="A12" s="67" t="s">
        <v>471</v>
      </c>
      <c r="B12" s="68">
        <f t="shared" ref="B12:F12" si="3">B11*$B$6</f>
        <v>100.0261334673872</v>
      </c>
      <c r="C12" s="68">
        <f t="shared" si="3"/>
        <v>107.41344724664883</v>
      </c>
      <c r="D12" s="68">
        <f t="shared" si="3"/>
        <v>115.34634249528777</v>
      </c>
      <c r="E12" s="68">
        <f t="shared" si="3"/>
        <v>123.86511249833596</v>
      </c>
      <c r="F12" s="68">
        <f t="shared" si="3"/>
        <v>133.01302635453931</v>
      </c>
      <c r="G12" s="16"/>
    </row>
    <row r="13" spans="1:7" ht="24">
      <c r="A13" s="24" t="s">
        <v>472</v>
      </c>
      <c r="B13" s="36">
        <f t="shared" ref="B13:F13" si="4">B12</f>
        <v>100.0261334673872</v>
      </c>
      <c r="C13" s="36">
        <f t="shared" si="4"/>
        <v>107.41344724664883</v>
      </c>
      <c r="D13" s="36">
        <f t="shared" si="4"/>
        <v>115.34634249528777</v>
      </c>
      <c r="E13" s="36">
        <f t="shared" si="4"/>
        <v>123.86511249833596</v>
      </c>
      <c r="F13" s="36">
        <f t="shared" si="4"/>
        <v>133.01302635453931</v>
      </c>
      <c r="G13" s="16"/>
    </row>
    <row r="14" spans="1:7" ht="24">
      <c r="A14" s="16"/>
      <c r="B14" s="39"/>
      <c r="C14" s="39"/>
      <c r="D14" s="39"/>
      <c r="E14" s="39"/>
      <c r="F14" s="39"/>
      <c r="G14" s="16"/>
    </row>
    <row r="15" spans="1:7" ht="24">
      <c r="A15" s="44" t="s">
        <v>473</v>
      </c>
      <c r="B15" s="39"/>
      <c r="C15" s="39"/>
      <c r="D15" s="39"/>
      <c r="E15" s="39"/>
      <c r="F15" s="39"/>
      <c r="G15" s="16"/>
    </row>
    <row r="16" spans="1:7" ht="24">
      <c r="A16" s="16" t="s">
        <v>474</v>
      </c>
      <c r="B16" s="69">
        <v>0.5</v>
      </c>
      <c r="C16" s="39" t="s">
        <v>466</v>
      </c>
      <c r="D16" s="39"/>
      <c r="E16" s="39"/>
      <c r="F16" s="39"/>
      <c r="G16" s="16"/>
    </row>
    <row r="17" spans="1:7" ht="24">
      <c r="A17" s="16" t="s">
        <v>475</v>
      </c>
      <c r="B17" s="69">
        <v>0.5</v>
      </c>
      <c r="C17" s="39" t="s">
        <v>476</v>
      </c>
      <c r="D17" s="39"/>
      <c r="E17" s="39"/>
      <c r="F17" s="39"/>
      <c r="G17" s="16"/>
    </row>
    <row r="18" spans="1:7" ht="24">
      <c r="A18" s="16" t="s">
        <v>477</v>
      </c>
      <c r="B18" s="69">
        <v>0.05</v>
      </c>
      <c r="C18" s="39"/>
      <c r="D18" s="39"/>
      <c r="E18" s="39"/>
      <c r="F18" s="39"/>
      <c r="G18" s="16"/>
    </row>
    <row r="19" spans="1:7" ht="24">
      <c r="A19" s="70" t="s">
        <v>478</v>
      </c>
      <c r="B19" s="71" t="s">
        <v>438</v>
      </c>
      <c r="C19" s="71" t="s">
        <v>439</v>
      </c>
      <c r="D19" s="71" t="s">
        <v>440</v>
      </c>
      <c r="E19" s="71" t="s">
        <v>441</v>
      </c>
      <c r="F19" s="71" t="s">
        <v>442</v>
      </c>
      <c r="G19" s="16"/>
    </row>
    <row r="20" spans="1:7" ht="24">
      <c r="A20" s="22" t="s">
        <v>479</v>
      </c>
      <c r="B20" s="37">
        <f t="shared" ref="B20:F20" si="5">B3</f>
        <v>31788</v>
      </c>
      <c r="C20" s="37">
        <f t="shared" si="5"/>
        <v>34135.665777681323</v>
      </c>
      <c r="D20" s="37">
        <f t="shared" si="5"/>
        <v>36656.715681564223</v>
      </c>
      <c r="E20" s="37">
        <f t="shared" si="5"/>
        <v>39363.95479468246</v>
      </c>
      <c r="F20" s="37">
        <f t="shared" si="5"/>
        <v>42271.133904587798</v>
      </c>
      <c r="G20" s="16"/>
    </row>
    <row r="21" spans="1:7" ht="24">
      <c r="A21" s="67" t="s">
        <v>480</v>
      </c>
      <c r="B21" s="68">
        <f t="shared" ref="B21:F21" si="6">B20*$B$16</f>
        <v>15894</v>
      </c>
      <c r="C21" s="68">
        <f t="shared" si="6"/>
        <v>17067.832888840661</v>
      </c>
      <c r="D21" s="68">
        <f t="shared" si="6"/>
        <v>18328.357840782111</v>
      </c>
      <c r="E21" s="68">
        <f t="shared" si="6"/>
        <v>19681.97739734123</v>
      </c>
      <c r="F21" s="68">
        <f t="shared" si="6"/>
        <v>21135.566952293899</v>
      </c>
      <c r="G21" s="16"/>
    </row>
    <row r="22" spans="1:7" ht="24">
      <c r="A22" s="72" t="s">
        <v>481</v>
      </c>
      <c r="B22" s="68">
        <f t="shared" ref="B22:F22" si="7">B21*$B$17</f>
        <v>7947</v>
      </c>
      <c r="C22" s="68">
        <f t="shared" si="7"/>
        <v>8533.9164444203307</v>
      </c>
      <c r="D22" s="68">
        <f t="shared" si="7"/>
        <v>9164.1789203910557</v>
      </c>
      <c r="E22" s="68">
        <f t="shared" si="7"/>
        <v>9840.9886986706151</v>
      </c>
      <c r="F22" s="68">
        <f t="shared" si="7"/>
        <v>10567.783476146949</v>
      </c>
      <c r="G22" s="16"/>
    </row>
    <row r="23" spans="1:7" ht="24">
      <c r="A23" s="70" t="s">
        <v>482</v>
      </c>
      <c r="B23" s="73">
        <f t="shared" ref="B23:F23" si="8">B22*$B$18</f>
        <v>397.35</v>
      </c>
      <c r="C23" s="73">
        <f t="shared" si="8"/>
        <v>426.69582222101656</v>
      </c>
      <c r="D23" s="73">
        <f t="shared" si="8"/>
        <v>458.2089460195528</v>
      </c>
      <c r="E23" s="73">
        <f t="shared" si="8"/>
        <v>492.04943493353079</v>
      </c>
      <c r="F23" s="73">
        <f t="shared" si="8"/>
        <v>528.38917380734745</v>
      </c>
      <c r="G23" s="16"/>
    </row>
  </sheetData>
  <mergeCells count="1">
    <mergeCell ref="B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D562-3151-469C-88CF-2B59E4B73058}">
  <sheetPr>
    <tabColor rgb="FF00B050"/>
  </sheetPr>
  <dimension ref="A1:H42"/>
  <sheetViews>
    <sheetView topLeftCell="A21" zoomScale="98" zoomScaleNormal="98" workbookViewId="0">
      <selection activeCell="B41" sqref="B41"/>
    </sheetView>
  </sheetViews>
  <sheetFormatPr defaultRowHeight="14.25"/>
  <cols>
    <col min="1" max="1" width="42.125" bestFit="1" customWidth="1"/>
    <col min="2" max="4" width="11.125" bestFit="1" customWidth="1"/>
    <col min="5" max="5" width="12.625" bestFit="1" customWidth="1"/>
    <col min="6" max="6" width="11.125" bestFit="1" customWidth="1"/>
    <col min="8" max="8" width="13.125" bestFit="1" customWidth="1"/>
  </cols>
  <sheetData>
    <row r="1" spans="1:8" ht="30">
      <c r="A1" s="269" t="s">
        <v>483</v>
      </c>
      <c r="B1" s="269"/>
      <c r="C1" s="256" t="s">
        <v>415</v>
      </c>
      <c r="D1" s="256"/>
      <c r="E1" s="256"/>
      <c r="F1" s="256"/>
      <c r="G1" s="44"/>
    </row>
    <row r="2" spans="1:8" ht="24">
      <c r="A2" s="59" t="s">
        <v>484</v>
      </c>
      <c r="B2" s="74" t="s">
        <v>438</v>
      </c>
      <c r="C2" s="74" t="s">
        <v>439</v>
      </c>
      <c r="D2" s="74" t="s">
        <v>440</v>
      </c>
      <c r="E2" s="74" t="s">
        <v>441</v>
      </c>
      <c r="F2" s="74" t="s">
        <v>442</v>
      </c>
      <c r="G2" s="44"/>
    </row>
    <row r="3" spans="1:8" ht="24">
      <c r="A3" s="75" t="s">
        <v>485</v>
      </c>
      <c r="B3" s="76">
        <f>'costv.1.1'!E83*12</f>
        <v>540000</v>
      </c>
      <c r="C3" s="76">
        <f t="shared" ref="C3:F3" si="0">B3</f>
        <v>540000</v>
      </c>
      <c r="D3" s="76">
        <f t="shared" si="0"/>
        <v>540000</v>
      </c>
      <c r="E3" s="76">
        <f t="shared" si="0"/>
        <v>540000</v>
      </c>
      <c r="F3" s="76">
        <f t="shared" si="0"/>
        <v>540000</v>
      </c>
      <c r="G3" s="44"/>
    </row>
    <row r="4" spans="1:8" ht="24">
      <c r="A4" s="75" t="s">
        <v>486</v>
      </c>
      <c r="B4" s="76">
        <f>'Inputs&amp;Assumptions'!B5*12</f>
        <v>5160000</v>
      </c>
      <c r="C4" s="76">
        <f>B4*$G$4</f>
        <v>5314800</v>
      </c>
      <c r="D4" s="76">
        <f t="shared" ref="D4:F4" si="1">C4*$G$4</f>
        <v>5474244</v>
      </c>
      <c r="E4" s="76">
        <f t="shared" si="1"/>
        <v>5638471.3200000003</v>
      </c>
      <c r="F4" s="76">
        <f t="shared" si="1"/>
        <v>5807625.4596000006</v>
      </c>
      <c r="G4" s="44">
        <v>1.03</v>
      </c>
      <c r="H4" s="6"/>
    </row>
    <row r="5" spans="1:8" ht="24">
      <c r="A5" s="75" t="s">
        <v>487</v>
      </c>
      <c r="B5" s="76">
        <f>'costv.1.1'!E84*12</f>
        <v>16705.489056000006</v>
      </c>
      <c r="C5" s="76">
        <f>B5*1.03</f>
        <v>17206.653727680008</v>
      </c>
      <c r="D5" s="76">
        <f>C5*1.03</f>
        <v>17722.85333951041</v>
      </c>
      <c r="E5" s="76">
        <f>D5*1.03</f>
        <v>18254.538939695722</v>
      </c>
      <c r="F5" s="76">
        <f>E5*1.03</f>
        <v>18802.175107886593</v>
      </c>
      <c r="G5" s="44"/>
    </row>
    <row r="6" spans="1:8" ht="24">
      <c r="A6" s="75"/>
      <c r="B6" s="76">
        <v>0</v>
      </c>
      <c r="C6" s="76">
        <f t="shared" ref="C5:F7" si="2">B6*1.05</f>
        <v>0</v>
      </c>
      <c r="D6" s="76">
        <f t="shared" si="2"/>
        <v>0</v>
      </c>
      <c r="E6" s="76">
        <f t="shared" si="2"/>
        <v>0</v>
      </c>
      <c r="F6" s="76">
        <f t="shared" si="2"/>
        <v>0</v>
      </c>
      <c r="G6" s="44"/>
    </row>
    <row r="7" spans="1:8" ht="24">
      <c r="A7" s="75"/>
      <c r="B7" s="76">
        <v>0</v>
      </c>
      <c r="C7" s="76">
        <f t="shared" si="2"/>
        <v>0</v>
      </c>
      <c r="D7" s="76">
        <f t="shared" si="2"/>
        <v>0</v>
      </c>
      <c r="E7" s="76">
        <f t="shared" si="2"/>
        <v>0</v>
      </c>
      <c r="F7" s="76">
        <f t="shared" si="2"/>
        <v>0</v>
      </c>
      <c r="G7" s="44"/>
    </row>
    <row r="8" spans="1:8" ht="24">
      <c r="A8" s="77" t="s">
        <v>488</v>
      </c>
      <c r="B8" s="78">
        <f>ค่าเสื่อมและตัดจ่าย!B4</f>
        <v>810916.92</v>
      </c>
      <c r="C8" s="78">
        <f>ค่าเสื่อมและตัดจ่าย!C4</f>
        <v>810916.92</v>
      </c>
      <c r="D8" s="78">
        <f>ค่าเสื่อมและตัดจ่าย!D4</f>
        <v>810916.92</v>
      </c>
      <c r="E8" s="78">
        <f>ค่าเสื่อมและตัดจ่าย!E4</f>
        <v>810916.92</v>
      </c>
      <c r="F8" s="78">
        <f>ค่าเสื่อมและตัดจ่าย!F4</f>
        <v>810916.92</v>
      </c>
      <c r="G8" s="10"/>
    </row>
    <row r="9" spans="1:8" ht="24">
      <c r="A9" s="77" t="s">
        <v>448</v>
      </c>
      <c r="B9" s="78">
        <f>ค่าเสื่อมและตัดจ่าย!B13</f>
        <v>73719.72</v>
      </c>
      <c r="C9" s="78">
        <f>ค่าเสื่อมและตัดจ่าย!C13</f>
        <v>73719.72</v>
      </c>
      <c r="D9" s="78">
        <f>ค่าเสื่อมและตัดจ่าย!D13</f>
        <v>73719.72</v>
      </c>
      <c r="E9" s="78">
        <f>ค่าเสื่อมและตัดจ่าย!E13</f>
        <v>73719.72</v>
      </c>
      <c r="F9" s="78">
        <f>ค่าเสื่อมและตัดจ่าย!F13</f>
        <v>73719.72</v>
      </c>
      <c r="G9" s="10"/>
    </row>
    <row r="10" spans="1:8" ht="24">
      <c r="A10" s="75" t="s">
        <v>489</v>
      </c>
      <c r="B10" s="76">
        <v>0</v>
      </c>
      <c r="C10" s="76">
        <f t="shared" ref="C10:F11" si="3">B10</f>
        <v>0</v>
      </c>
      <c r="D10" s="76">
        <f t="shared" si="3"/>
        <v>0</v>
      </c>
      <c r="E10" s="76">
        <f t="shared" si="3"/>
        <v>0</v>
      </c>
      <c r="F10" s="76">
        <f t="shared" si="3"/>
        <v>0</v>
      </c>
      <c r="G10" s="44"/>
    </row>
    <row r="11" spans="1:8" ht="24">
      <c r="A11" s="75" t="s">
        <v>490</v>
      </c>
      <c r="B11" s="76">
        <v>0</v>
      </c>
      <c r="C11" s="76">
        <f t="shared" si="3"/>
        <v>0</v>
      </c>
      <c r="D11" s="76">
        <f t="shared" si="3"/>
        <v>0</v>
      </c>
      <c r="E11" s="76">
        <f t="shared" si="3"/>
        <v>0</v>
      </c>
      <c r="F11" s="76">
        <f t="shared" si="3"/>
        <v>0</v>
      </c>
      <c r="G11" s="44"/>
    </row>
    <row r="12" spans="1:8" ht="24">
      <c r="A12" s="59" t="s">
        <v>491</v>
      </c>
      <c r="B12" s="79">
        <f t="shared" ref="B12:F12" si="4">SUM(B3:B11)</f>
        <v>6601342.1290559992</v>
      </c>
      <c r="C12" s="79">
        <f t="shared" si="4"/>
        <v>6756643.2937276801</v>
      </c>
      <c r="D12" s="79">
        <f t="shared" si="4"/>
        <v>6916603.4933395097</v>
      </c>
      <c r="E12" s="79">
        <f t="shared" si="4"/>
        <v>7081362.4989396958</v>
      </c>
      <c r="F12" s="79">
        <f t="shared" si="4"/>
        <v>7251064.2747078873</v>
      </c>
      <c r="G12" s="44"/>
    </row>
    <row r="13" spans="1:8" ht="24">
      <c r="A13" s="44"/>
      <c r="B13" s="80"/>
      <c r="C13" s="81"/>
      <c r="D13" s="81"/>
      <c r="E13" s="81"/>
      <c r="F13" s="81"/>
      <c r="G13" s="44"/>
    </row>
    <row r="14" spans="1:8" ht="24">
      <c r="A14" s="44"/>
      <c r="B14" s="82"/>
      <c r="C14" s="82"/>
      <c r="D14" s="82"/>
      <c r="E14" s="82"/>
      <c r="F14" s="82"/>
      <c r="G14" s="44"/>
    </row>
    <row r="15" spans="1:8" ht="24">
      <c r="A15" s="83" t="s">
        <v>479</v>
      </c>
      <c r="B15" s="84">
        <f>สินค้าและส่งเสริมการขาย!B3</f>
        <v>31788</v>
      </c>
      <c r="C15" s="84">
        <f>สินค้าและส่งเสริมการขาย!C3</f>
        <v>34135.665777681323</v>
      </c>
      <c r="D15" s="84">
        <f>สินค้าและส่งเสริมการขาย!D3</f>
        <v>36656.715681564223</v>
      </c>
      <c r="E15" s="84">
        <f>สินค้าและส่งเสริมการขาย!E3</f>
        <v>39363.95479468246</v>
      </c>
      <c r="F15" s="84">
        <f>สินค้าและส่งเสริมการขาย!F3</f>
        <v>42271.133904587798</v>
      </c>
      <c r="G15" s="44"/>
    </row>
    <row r="16" spans="1:8" ht="24">
      <c r="A16" s="44"/>
      <c r="B16" s="85"/>
      <c r="C16" s="44"/>
      <c r="D16" s="44"/>
      <c r="E16" s="44"/>
      <c r="F16" s="44"/>
      <c r="G16" s="44"/>
    </row>
    <row r="17" spans="1:7" ht="24">
      <c r="A17" s="74" t="s">
        <v>492</v>
      </c>
      <c r="B17" s="86" t="s">
        <v>438</v>
      </c>
      <c r="C17" s="86" t="s">
        <v>439</v>
      </c>
      <c r="D17" s="86" t="s">
        <v>440</v>
      </c>
      <c r="E17" s="86" t="s">
        <v>441</v>
      </c>
      <c r="F17" s="86" t="s">
        <v>442</v>
      </c>
      <c r="G17" s="44"/>
    </row>
    <row r="18" spans="1:7" ht="24">
      <c r="A18" s="87" t="s">
        <v>493</v>
      </c>
      <c r="B18" s="88">
        <f>B15*[1]สินค้าและส่งเสริมการขาย!$B$5</f>
        <v>0</v>
      </c>
      <c r="C18" s="88">
        <f>C15*[1]สินค้าและส่งเสริมการขาย!$B$5</f>
        <v>0</v>
      </c>
      <c r="D18" s="88">
        <f>D15*[1]สินค้าและส่งเสริมการขาย!$B$5</f>
        <v>0</v>
      </c>
      <c r="E18" s="88">
        <f>E15*[1]สินค้าและส่งเสริมการขาย!$B$5</f>
        <v>0</v>
      </c>
      <c r="F18" s="88">
        <f>F15*[1]สินค้าและส่งเสริมการขาย!$B$5</f>
        <v>0</v>
      </c>
      <c r="G18" s="44"/>
    </row>
    <row r="19" spans="1:7" ht="24">
      <c r="A19" s="89" t="s">
        <v>494</v>
      </c>
      <c r="B19" s="90">
        <v>0</v>
      </c>
      <c r="C19" s="90">
        <f>B19*1.05</f>
        <v>0</v>
      </c>
      <c r="D19" s="90">
        <f t="shared" ref="D19:F19" si="5">C19*1.05</f>
        <v>0</v>
      </c>
      <c r="E19" s="90">
        <f t="shared" si="5"/>
        <v>0</v>
      </c>
      <c r="F19" s="90">
        <f t="shared" si="5"/>
        <v>0</v>
      </c>
      <c r="G19" s="44"/>
    </row>
    <row r="20" spans="1:7" ht="24">
      <c r="A20" s="91" t="s">
        <v>495</v>
      </c>
      <c r="B20" s="92">
        <f>สินค้าและส่งเสริมการขาย!B23</f>
        <v>397.35</v>
      </c>
      <c r="C20" s="92">
        <f>สินค้าและส่งเสริมการขาย!C23</f>
        <v>426.69582222101656</v>
      </c>
      <c r="D20" s="92">
        <f>สินค้าและส่งเสริมการขาย!D23</f>
        <v>458.2089460195528</v>
      </c>
      <c r="E20" s="92">
        <f>สินค้าและส่งเสริมการขาย!E23</f>
        <v>492.04943493353079</v>
      </c>
      <c r="F20" s="92">
        <f>สินค้าและส่งเสริมการขาย!F23</f>
        <v>528.38917380734745</v>
      </c>
      <c r="G20" s="44"/>
    </row>
    <row r="21" spans="1:7" ht="24">
      <c r="A21" s="93" t="s">
        <v>496</v>
      </c>
      <c r="B21" s="94">
        <f t="shared" ref="B21:F21" si="6">SUM(B18:B20)</f>
        <v>397.35</v>
      </c>
      <c r="C21" s="94">
        <f t="shared" si="6"/>
        <v>426.69582222101656</v>
      </c>
      <c r="D21" s="94">
        <f t="shared" si="6"/>
        <v>458.2089460195528</v>
      </c>
      <c r="E21" s="94">
        <f t="shared" si="6"/>
        <v>492.04943493353079</v>
      </c>
      <c r="F21" s="94">
        <f t="shared" si="6"/>
        <v>528.38917380734745</v>
      </c>
      <c r="G21" s="44"/>
    </row>
    <row r="22" spans="1:7" ht="24">
      <c r="A22" s="95"/>
      <c r="B22" s="96"/>
      <c r="C22" s="97"/>
      <c r="D22" s="97"/>
      <c r="E22" s="97"/>
      <c r="F22" s="97"/>
      <c r="G22" s="44"/>
    </row>
    <row r="23" spans="1:7" ht="24">
      <c r="A23" s="95"/>
      <c r="B23" s="98"/>
      <c r="C23" s="97"/>
      <c r="D23" s="97"/>
      <c r="E23" s="97"/>
      <c r="F23" s="97"/>
      <c r="G23" s="44"/>
    </row>
    <row r="24" spans="1:7" ht="24">
      <c r="A24" s="99" t="s">
        <v>497</v>
      </c>
      <c r="B24" s="100"/>
      <c r="C24" s="100"/>
      <c r="D24" s="100"/>
      <c r="E24" s="97"/>
      <c r="F24" s="97"/>
      <c r="G24" s="44"/>
    </row>
    <row r="25" spans="1:7" ht="24">
      <c r="A25" s="99" t="s">
        <v>498</v>
      </c>
      <c r="B25" s="100"/>
      <c r="C25" s="100"/>
      <c r="D25" s="100"/>
      <c r="E25" s="97"/>
      <c r="F25" s="97"/>
      <c r="G25" s="44"/>
    </row>
    <row r="26" spans="1:7" ht="24">
      <c r="A26" s="99" t="s">
        <v>499</v>
      </c>
      <c r="B26" s="100"/>
      <c r="C26" s="100"/>
      <c r="D26" s="100"/>
      <c r="E26" s="97"/>
      <c r="F26" s="97"/>
      <c r="G26" s="44"/>
    </row>
    <row r="27" spans="1:7" ht="24">
      <c r="A27" s="44"/>
      <c r="B27" s="97"/>
      <c r="C27" s="97"/>
      <c r="D27" s="97"/>
      <c r="E27" s="97"/>
      <c r="F27" s="97"/>
      <c r="G27" s="44"/>
    </row>
    <row r="28" spans="1:7" ht="24">
      <c r="A28" s="93" t="s">
        <v>500</v>
      </c>
      <c r="B28" s="101" t="s">
        <v>438</v>
      </c>
      <c r="C28" s="101" t="s">
        <v>439</v>
      </c>
      <c r="D28" s="101" t="s">
        <v>440</v>
      </c>
      <c r="E28" s="101" t="s">
        <v>441</v>
      </c>
      <c r="F28" s="101" t="s">
        <v>442</v>
      </c>
      <c r="G28" s="44"/>
    </row>
    <row r="29" spans="1:7" ht="24">
      <c r="A29" s="91" t="s">
        <v>501</v>
      </c>
      <c r="B29" s="92">
        <f>B15-B21</f>
        <v>31390.65</v>
      </c>
      <c r="C29" s="92">
        <f>C15-C21</f>
        <v>33708.969955460307</v>
      </c>
      <c r="D29" s="92">
        <f>D15-D21</f>
        <v>36198.506735544674</v>
      </c>
      <c r="E29" s="92">
        <f>E15-E21</f>
        <v>38871.905359748933</v>
      </c>
      <c r="F29" s="92">
        <f>F15-F21</f>
        <v>41742.744730780447</v>
      </c>
      <c r="G29" s="44"/>
    </row>
    <row r="30" spans="1:7" ht="24">
      <c r="A30" s="91" t="s">
        <v>502</v>
      </c>
      <c r="B30" s="25">
        <f>B29/B15</f>
        <v>0.98750000000000004</v>
      </c>
      <c r="C30" s="25">
        <f>C29/C15</f>
        <v>0.98750000000000004</v>
      </c>
      <c r="D30" s="25">
        <f>D29/D15</f>
        <v>0.98750000000000004</v>
      </c>
      <c r="E30" s="25">
        <f>E29/E15</f>
        <v>0.98750000000000004</v>
      </c>
      <c r="F30" s="25">
        <f>F29/F15</f>
        <v>0.98749999999999993</v>
      </c>
      <c r="G30" s="44"/>
    </row>
    <row r="31" spans="1:7" ht="24">
      <c r="A31" s="91" t="s">
        <v>503</v>
      </c>
      <c r="B31" s="92">
        <f>B12/B30</f>
        <v>6684903.4218288595</v>
      </c>
      <c r="C31" s="92">
        <f>C12/C30</f>
        <v>6842170.4240280306</v>
      </c>
      <c r="D31" s="92">
        <f>D12/D30</f>
        <v>7004155.4362931745</v>
      </c>
      <c r="E31" s="92">
        <f>E12/E30</f>
        <v>7170999.9989262735</v>
      </c>
      <c r="F31" s="92">
        <f>F12/F30</f>
        <v>7342849.8984383671</v>
      </c>
      <c r="G31" s="44"/>
    </row>
    <row r="32" spans="1:7" ht="24">
      <c r="A32" s="91" t="s">
        <v>504</v>
      </c>
      <c r="B32" s="25">
        <f t="shared" ref="B32:F32" si="7">B31/12</f>
        <v>557075.28515240492</v>
      </c>
      <c r="C32" s="25">
        <f t="shared" si="7"/>
        <v>570180.86866900255</v>
      </c>
      <c r="D32" s="25">
        <f t="shared" si="7"/>
        <v>583679.61969109788</v>
      </c>
      <c r="E32" s="25">
        <f t="shared" si="7"/>
        <v>597583.33324385609</v>
      </c>
      <c r="F32" s="25">
        <f t="shared" si="7"/>
        <v>611904.15820319729</v>
      </c>
      <c r="G32" s="44"/>
    </row>
    <row r="33" spans="1:7" ht="24">
      <c r="A33" s="91" t="s">
        <v>505</v>
      </c>
      <c r="B33" s="25">
        <f t="shared" ref="B33:F33" si="8">B32/30</f>
        <v>18569.176171746829</v>
      </c>
      <c r="C33" s="25">
        <f t="shared" si="8"/>
        <v>19006.028955633417</v>
      </c>
      <c r="D33" s="25">
        <f t="shared" si="8"/>
        <v>19455.987323036596</v>
      </c>
      <c r="E33" s="25">
        <f t="shared" si="8"/>
        <v>19919.44444146187</v>
      </c>
      <c r="F33" s="25">
        <f t="shared" si="8"/>
        <v>20396.80527343991</v>
      </c>
      <c r="G33" s="44"/>
    </row>
    <row r="34" spans="1:7" ht="24">
      <c r="A34" s="44"/>
      <c r="B34" s="97"/>
      <c r="C34" s="97"/>
      <c r="D34" s="97"/>
      <c r="E34" s="97"/>
      <c r="F34" s="97"/>
      <c r="G34" s="44"/>
    </row>
    <row r="35" spans="1:7" ht="24">
      <c r="A35" s="44" t="s">
        <v>506</v>
      </c>
      <c r="B35" s="102">
        <v>0</v>
      </c>
      <c r="C35" s="97" t="s">
        <v>507</v>
      </c>
      <c r="D35" s="97"/>
      <c r="E35" s="97"/>
      <c r="F35" s="97"/>
      <c r="G35" s="44"/>
    </row>
    <row r="36" spans="1:7" ht="24">
      <c r="A36" s="44" t="s">
        <v>508</v>
      </c>
      <c r="B36" s="103"/>
      <c r="C36" s="97" t="s">
        <v>363</v>
      </c>
      <c r="D36" s="97"/>
      <c r="E36" s="97"/>
      <c r="F36" s="97"/>
      <c r="G36" s="44"/>
    </row>
    <row r="37" spans="1:7" ht="24">
      <c r="A37" s="93" t="s">
        <v>390</v>
      </c>
      <c r="B37" s="101" t="s">
        <v>438</v>
      </c>
      <c r="C37" s="101" t="s">
        <v>439</v>
      </c>
      <c r="D37" s="101" t="s">
        <v>440</v>
      </c>
      <c r="E37" s="101" t="s">
        <v>441</v>
      </c>
      <c r="F37" s="101" t="s">
        <v>442</v>
      </c>
      <c r="G37" s="44"/>
    </row>
    <row r="38" spans="1:7" ht="24">
      <c r="A38" s="91" t="str">
        <f>[1]งบประมาณการลงทุน!D4</f>
        <v>เจ้าหนี้(เงินกู้ยืม)</v>
      </c>
      <c r="B38" s="25">
        <f>งบประมาณการลงทุน!D18</f>
        <v>0</v>
      </c>
      <c r="C38" s="25"/>
      <c r="D38" s="25"/>
      <c r="E38" s="25"/>
      <c r="F38" s="25"/>
      <c r="G38" s="44"/>
    </row>
    <row r="39" spans="1:7" ht="24">
      <c r="A39" s="91" t="s">
        <v>509</v>
      </c>
      <c r="B39" s="91" t="e">
        <f>B38/$B$36</f>
        <v>#DIV/0!</v>
      </c>
      <c r="C39" s="25" t="e">
        <f>B39</f>
        <v>#DIV/0!</v>
      </c>
      <c r="D39" s="25" t="e">
        <f t="shared" ref="D39:F39" si="9">C39</f>
        <v>#DIV/0!</v>
      </c>
      <c r="E39" s="25" t="e">
        <f t="shared" si="9"/>
        <v>#DIV/0!</v>
      </c>
      <c r="F39" s="25" t="e">
        <f t="shared" si="9"/>
        <v>#DIV/0!</v>
      </c>
      <c r="G39" s="44"/>
    </row>
    <row r="40" spans="1:7" ht="24">
      <c r="A40" s="91" t="s">
        <v>510</v>
      </c>
      <c r="B40" s="25" t="e">
        <f>B38-B39</f>
        <v>#DIV/0!</v>
      </c>
      <c r="C40" s="25" t="e">
        <f t="shared" ref="C40:F40" si="10">B40-C39</f>
        <v>#DIV/0!</v>
      </c>
      <c r="D40" s="25" t="e">
        <f t="shared" si="10"/>
        <v>#DIV/0!</v>
      </c>
      <c r="E40" s="25" t="e">
        <f t="shared" si="10"/>
        <v>#DIV/0!</v>
      </c>
      <c r="F40" s="25" t="e">
        <f t="shared" si="10"/>
        <v>#DIV/0!</v>
      </c>
      <c r="G40" s="44"/>
    </row>
    <row r="41" spans="1:7" ht="24">
      <c r="A41" s="91" t="s">
        <v>511</v>
      </c>
      <c r="B41" s="25">
        <f>B38*$B$35</f>
        <v>0</v>
      </c>
      <c r="C41" s="25" t="e">
        <f t="shared" ref="C41:F41" si="11">B40*$B$35</f>
        <v>#DIV/0!</v>
      </c>
      <c r="D41" s="25" t="e">
        <f t="shared" si="11"/>
        <v>#DIV/0!</v>
      </c>
      <c r="E41" s="25" t="e">
        <f t="shared" si="11"/>
        <v>#DIV/0!</v>
      </c>
      <c r="F41" s="25" t="e">
        <f t="shared" si="11"/>
        <v>#DIV/0!</v>
      </c>
      <c r="G41" s="44"/>
    </row>
    <row r="42" spans="1:7" ht="24">
      <c r="A42" s="44"/>
      <c r="B42" s="97"/>
      <c r="C42" s="97"/>
      <c r="D42" s="97"/>
      <c r="E42" s="97"/>
      <c r="F42" s="97"/>
      <c r="G42" s="44"/>
    </row>
  </sheetData>
  <mergeCells count="2">
    <mergeCell ref="A1:B1"/>
    <mergeCell ref="C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4030A-D4F5-4D74-BBBA-4613D7B3B20C}">
  <sheetPr>
    <tabColor rgb="FF92D050"/>
  </sheetPr>
  <dimension ref="A1:G35"/>
  <sheetViews>
    <sheetView topLeftCell="A14" zoomScale="98" zoomScaleNormal="98" workbookViewId="0">
      <selection activeCell="C31" sqref="C31"/>
    </sheetView>
  </sheetViews>
  <sheetFormatPr defaultRowHeight="14.25"/>
  <cols>
    <col min="1" max="1" width="49.375" bestFit="1" customWidth="1"/>
    <col min="2" max="3" width="10.125" bestFit="1" customWidth="1"/>
    <col min="4" max="4" width="16.375" bestFit="1" customWidth="1"/>
    <col min="5" max="6" width="10.125" bestFit="1" customWidth="1"/>
  </cols>
  <sheetData>
    <row r="1" spans="1:7" ht="24">
      <c r="A1" s="257" t="s">
        <v>512</v>
      </c>
      <c r="B1" s="270"/>
      <c r="C1" s="270"/>
      <c r="D1" s="270"/>
      <c r="E1" s="270"/>
      <c r="F1" s="270"/>
      <c r="G1" s="44"/>
    </row>
    <row r="2" spans="1:7" ht="24">
      <c r="A2" s="91"/>
      <c r="B2" s="104" t="s">
        <v>438</v>
      </c>
      <c r="C2" s="104" t="s">
        <v>439</v>
      </c>
      <c r="D2" s="104" t="s">
        <v>440</v>
      </c>
      <c r="E2" s="104" t="s">
        <v>441</v>
      </c>
      <c r="F2" s="104" t="s">
        <v>442</v>
      </c>
      <c r="G2" s="44"/>
    </row>
    <row r="3" spans="1:7" ht="24">
      <c r="A3" s="91" t="s">
        <v>479</v>
      </c>
      <c r="B3" s="92">
        <f>การประมาณการค่าใช้จ่าย!B15</f>
        <v>31788</v>
      </c>
      <c r="C3" s="92">
        <f>การประมาณการค่าใช้จ่าย!C15</f>
        <v>34135.665777681323</v>
      </c>
      <c r="D3" s="92">
        <f>การประมาณการค่าใช้จ่าย!D15</f>
        <v>36656.715681564223</v>
      </c>
      <c r="E3" s="92">
        <f>การประมาณการค่าใช้จ่าย!E15</f>
        <v>39363.95479468246</v>
      </c>
      <c r="F3" s="92">
        <f>การประมาณการค่าใช้จ่าย!F15</f>
        <v>42271.133904587798</v>
      </c>
      <c r="G3" s="44"/>
    </row>
    <row r="4" spans="1:7" ht="24">
      <c r="A4" s="91" t="s">
        <v>513</v>
      </c>
      <c r="B4" s="92">
        <f>การประมาณการค่าใช้จ่าย!B21</f>
        <v>397.35</v>
      </c>
      <c r="C4" s="92">
        <f>การประมาณการค่าใช้จ่าย!C21</f>
        <v>426.69582222101656</v>
      </c>
      <c r="D4" s="92">
        <f>การประมาณการค่าใช้จ่าย!D21</f>
        <v>458.2089460195528</v>
      </c>
      <c r="E4" s="92">
        <f>การประมาณการค่าใช้จ่าย!E21</f>
        <v>492.04943493353079</v>
      </c>
      <c r="F4" s="92">
        <f>การประมาณการค่าใช้จ่าย!F21</f>
        <v>528.38917380734745</v>
      </c>
      <c r="G4" s="44"/>
    </row>
    <row r="5" spans="1:7" ht="24">
      <c r="A5" s="91" t="s">
        <v>501</v>
      </c>
      <c r="B5" s="92">
        <f t="shared" ref="B5:F5" si="0">B3-B4</f>
        <v>31390.65</v>
      </c>
      <c r="C5" s="92">
        <f t="shared" si="0"/>
        <v>33708.969955460307</v>
      </c>
      <c r="D5" s="92">
        <f t="shared" si="0"/>
        <v>36198.506735544674</v>
      </c>
      <c r="E5" s="92">
        <f t="shared" si="0"/>
        <v>38871.905359748933</v>
      </c>
      <c r="F5" s="92">
        <f t="shared" si="0"/>
        <v>41742.744730780447</v>
      </c>
      <c r="G5" s="44"/>
    </row>
    <row r="6" spans="1:7" ht="24">
      <c r="A6" s="91" t="s">
        <v>514</v>
      </c>
      <c r="B6" s="92">
        <f>การประมาณการค่าใช้จ่าย!B12</f>
        <v>6601342.1290559992</v>
      </c>
      <c r="C6" s="92">
        <f>การประมาณการค่าใช้จ่าย!C12</f>
        <v>6756643.2937276801</v>
      </c>
      <c r="D6" s="92">
        <f>การประมาณการค่าใช้จ่าย!D12</f>
        <v>6916603.4933395097</v>
      </c>
      <c r="E6" s="92">
        <f>การประมาณการค่าใช้จ่าย!E12</f>
        <v>7081362.4989396958</v>
      </c>
      <c r="F6" s="92">
        <f>การประมาณการค่าใช้จ่าย!F12</f>
        <v>7251064.2747078873</v>
      </c>
      <c r="G6" s="44"/>
    </row>
    <row r="7" spans="1:7" ht="24">
      <c r="A7" s="91" t="s">
        <v>515</v>
      </c>
      <c r="B7" s="92">
        <f>B5-B6</f>
        <v>-6569951.4790559988</v>
      </c>
      <c r="C7" s="92">
        <f t="shared" ref="C7:F7" si="1">C5-C6</f>
        <v>-6722934.3237722199</v>
      </c>
      <c r="D7" s="92">
        <f t="shared" si="1"/>
        <v>-6880404.9866039651</v>
      </c>
      <c r="E7" s="92">
        <f t="shared" si="1"/>
        <v>-7042490.593579947</v>
      </c>
      <c r="F7" s="92">
        <f t="shared" si="1"/>
        <v>-7209321.5299771065</v>
      </c>
      <c r="G7" s="44"/>
    </row>
    <row r="8" spans="1:7" ht="24">
      <c r="A8" s="91" t="s">
        <v>516</v>
      </c>
      <c r="B8" s="92">
        <f>การประมาณการค่าใช้จ่าย!B41</f>
        <v>0</v>
      </c>
      <c r="C8" s="92" t="e">
        <f>การประมาณการค่าใช้จ่าย!C41</f>
        <v>#DIV/0!</v>
      </c>
      <c r="D8" s="92" t="e">
        <f>การประมาณการค่าใช้จ่าย!D41</f>
        <v>#DIV/0!</v>
      </c>
      <c r="E8" s="92" t="e">
        <f>การประมาณการค่าใช้จ่าย!E41</f>
        <v>#DIV/0!</v>
      </c>
      <c r="F8" s="92" t="e">
        <f>การประมาณการค่าใช้จ่าย!F41</f>
        <v>#DIV/0!</v>
      </c>
      <c r="G8" s="44"/>
    </row>
    <row r="9" spans="1:7" ht="24">
      <c r="A9" s="91" t="s">
        <v>517</v>
      </c>
      <c r="B9" s="92">
        <f t="shared" ref="B9:F9" si="2">B7-B8</f>
        <v>-6569951.4790559988</v>
      </c>
      <c r="C9" s="92" t="e">
        <f t="shared" si="2"/>
        <v>#DIV/0!</v>
      </c>
      <c r="D9" s="92" t="e">
        <f t="shared" si="2"/>
        <v>#DIV/0!</v>
      </c>
      <c r="E9" s="92" t="e">
        <f t="shared" si="2"/>
        <v>#DIV/0!</v>
      </c>
      <c r="F9" s="92" t="e">
        <f t="shared" si="2"/>
        <v>#DIV/0!</v>
      </c>
      <c r="G9" s="44"/>
    </row>
    <row r="10" spans="1:7" ht="24">
      <c r="A10" s="91" t="s">
        <v>518</v>
      </c>
      <c r="B10" s="92">
        <f>B9*$C$15</f>
        <v>-1313990.2958111998</v>
      </c>
      <c r="C10" s="92" t="e">
        <f t="shared" ref="C10:F10" si="3">C9*$C$15</f>
        <v>#DIV/0!</v>
      </c>
      <c r="D10" s="92" t="e">
        <f t="shared" si="3"/>
        <v>#DIV/0!</v>
      </c>
      <c r="E10" s="92" t="e">
        <f t="shared" si="3"/>
        <v>#DIV/0!</v>
      </c>
      <c r="F10" s="92" t="e">
        <f t="shared" si="3"/>
        <v>#DIV/0!</v>
      </c>
      <c r="G10" s="44"/>
    </row>
    <row r="11" spans="1:7" ht="24">
      <c r="A11" s="91" t="s">
        <v>306</v>
      </c>
      <c r="B11" s="92">
        <f t="shared" ref="B11:F11" si="4">B9-B10</f>
        <v>-5255961.1832447993</v>
      </c>
      <c r="C11" s="92" t="e">
        <f t="shared" si="4"/>
        <v>#DIV/0!</v>
      </c>
      <c r="D11" s="92" t="e">
        <f t="shared" si="4"/>
        <v>#DIV/0!</v>
      </c>
      <c r="E11" s="92" t="e">
        <f t="shared" si="4"/>
        <v>#DIV/0!</v>
      </c>
      <c r="F11" s="92" t="e">
        <f t="shared" si="4"/>
        <v>#DIV/0!</v>
      </c>
      <c r="G11" s="44"/>
    </row>
    <row r="12" spans="1:7" ht="24">
      <c r="A12" s="105" t="s">
        <v>415</v>
      </c>
      <c r="B12" s="82"/>
      <c r="C12" s="82"/>
      <c r="D12" s="82"/>
      <c r="E12" s="82"/>
      <c r="F12" s="82"/>
      <c r="G12" s="44"/>
    </row>
    <row r="13" spans="1:7" ht="24">
      <c r="A13" s="106" t="s">
        <v>519</v>
      </c>
      <c r="B13" s="107"/>
      <c r="C13" s="107"/>
      <c r="D13" s="107"/>
      <c r="E13" s="107"/>
      <c r="F13" s="82"/>
      <c r="G13" s="44"/>
    </row>
    <row r="14" spans="1:7" ht="24">
      <c r="A14" s="60" t="s">
        <v>520</v>
      </c>
      <c r="B14" s="61"/>
      <c r="C14" s="108">
        <v>0.05</v>
      </c>
      <c r="D14" s="61" t="s">
        <v>521</v>
      </c>
      <c r="E14" s="107"/>
      <c r="F14" s="82"/>
      <c r="G14" s="44"/>
    </row>
    <row r="15" spans="1:7" ht="24">
      <c r="A15" s="44" t="s">
        <v>522</v>
      </c>
      <c r="B15" s="82"/>
      <c r="C15" s="108">
        <v>0.2</v>
      </c>
      <c r="D15" s="82"/>
      <c r="E15" s="82"/>
      <c r="F15" s="82"/>
      <c r="G15" s="44"/>
    </row>
    <row r="16" spans="1:7" ht="24">
      <c r="A16" s="258" t="s">
        <v>523</v>
      </c>
      <c r="B16" s="258"/>
      <c r="C16" s="82"/>
      <c r="D16" s="82"/>
      <c r="E16" s="82"/>
      <c r="F16" s="82"/>
      <c r="G16" s="44"/>
    </row>
    <row r="17" spans="1:6" ht="24">
      <c r="A17" s="259" t="s">
        <v>524</v>
      </c>
      <c r="B17" s="267"/>
      <c r="C17" s="267"/>
      <c r="D17" s="267"/>
      <c r="E17" s="267"/>
      <c r="F17" s="267"/>
    </row>
    <row r="18" spans="1:6" ht="24">
      <c r="A18" s="149" t="s">
        <v>525</v>
      </c>
      <c r="B18" s="104" t="s">
        <v>438</v>
      </c>
      <c r="C18" s="104" t="s">
        <v>439</v>
      </c>
      <c r="D18" s="104" t="s">
        <v>440</v>
      </c>
      <c r="E18" s="104" t="s">
        <v>441</v>
      </c>
      <c r="F18" s="104" t="s">
        <v>442</v>
      </c>
    </row>
    <row r="19" spans="1:6" ht="24">
      <c r="A19" s="91" t="s">
        <v>526</v>
      </c>
      <c r="B19" s="92">
        <v>0</v>
      </c>
      <c r="C19" s="92">
        <f t="shared" ref="C19:F19" si="5">B22</f>
        <v>-4993163.1240825597</v>
      </c>
      <c r="D19" s="92" t="e">
        <f t="shared" si="5"/>
        <v>#DIV/0!</v>
      </c>
      <c r="E19" s="92" t="e">
        <f t="shared" si="5"/>
        <v>#DIV/0!</v>
      </c>
      <c r="F19" s="92" t="e">
        <f t="shared" si="5"/>
        <v>#DIV/0!</v>
      </c>
    </row>
    <row r="20" spans="1:6" ht="24">
      <c r="A20" s="91" t="s">
        <v>527</v>
      </c>
      <c r="B20" s="92">
        <f t="shared" ref="B20:F20" si="6">B11</f>
        <v>-5255961.1832447993</v>
      </c>
      <c r="C20" s="92" t="e">
        <f t="shared" si="6"/>
        <v>#DIV/0!</v>
      </c>
      <c r="D20" s="92" t="e">
        <f t="shared" si="6"/>
        <v>#DIV/0!</v>
      </c>
      <c r="E20" s="92" t="e">
        <f t="shared" si="6"/>
        <v>#DIV/0!</v>
      </c>
      <c r="F20" s="92" t="e">
        <f t="shared" si="6"/>
        <v>#DIV/0!</v>
      </c>
    </row>
    <row r="21" spans="1:6" ht="24">
      <c r="A21" s="150" t="s">
        <v>528</v>
      </c>
      <c r="B21" s="151">
        <f t="shared" ref="B21:F21" si="7">B20*$C$14</f>
        <v>-262798.05916223995</v>
      </c>
      <c r="C21" s="151" t="e">
        <f t="shared" si="7"/>
        <v>#DIV/0!</v>
      </c>
      <c r="D21" s="151" t="e">
        <f t="shared" si="7"/>
        <v>#DIV/0!</v>
      </c>
      <c r="E21" s="151" t="e">
        <f t="shared" si="7"/>
        <v>#DIV/0!</v>
      </c>
      <c r="F21" s="151" t="e">
        <f t="shared" si="7"/>
        <v>#DIV/0!</v>
      </c>
    </row>
    <row r="22" spans="1:6" ht="24">
      <c r="A22" s="93" t="s">
        <v>529</v>
      </c>
      <c r="B22" s="94">
        <f t="shared" ref="B22:F22" si="8">B19+B20-B21</f>
        <v>-4993163.1240825597</v>
      </c>
      <c r="C22" s="94" t="e">
        <f t="shared" si="8"/>
        <v>#DIV/0!</v>
      </c>
      <c r="D22" s="94" t="e">
        <f t="shared" si="8"/>
        <v>#DIV/0!</v>
      </c>
      <c r="E22" s="94" t="e">
        <f t="shared" si="8"/>
        <v>#DIV/0!</v>
      </c>
      <c r="F22" s="94" t="e">
        <f t="shared" si="8"/>
        <v>#DIV/0!</v>
      </c>
    </row>
    <row r="23" spans="1:6" ht="24">
      <c r="A23" s="44"/>
      <c r="B23" s="82"/>
      <c r="C23" s="82"/>
      <c r="D23" s="82"/>
      <c r="E23" s="82"/>
      <c r="F23" s="82"/>
    </row>
    <row r="24" spans="1:6" ht="24">
      <c r="A24" s="152" t="s">
        <v>530</v>
      </c>
      <c r="B24" s="110" t="s">
        <v>438</v>
      </c>
      <c r="C24" s="110" t="s">
        <v>439</v>
      </c>
      <c r="D24" s="110" t="s">
        <v>440</v>
      </c>
      <c r="E24" s="110" t="s">
        <v>441</v>
      </c>
      <c r="F24" s="110" t="s">
        <v>442</v>
      </c>
    </row>
    <row r="25" spans="1:6" ht="24">
      <c r="A25" s="91" t="s">
        <v>531</v>
      </c>
      <c r="B25" s="92">
        <f t="shared" ref="B25:F25" si="9">B10</f>
        <v>-1313990.2958111998</v>
      </c>
      <c r="C25" s="92" t="e">
        <f t="shared" si="9"/>
        <v>#DIV/0!</v>
      </c>
      <c r="D25" s="92" t="e">
        <f t="shared" si="9"/>
        <v>#DIV/0!</v>
      </c>
      <c r="E25" s="92" t="e">
        <f t="shared" si="9"/>
        <v>#DIV/0!</v>
      </c>
      <c r="F25" s="92" t="e">
        <f t="shared" si="9"/>
        <v>#DIV/0!</v>
      </c>
    </row>
    <row r="26" spans="1:6" ht="24">
      <c r="A26" s="91" t="s">
        <v>532</v>
      </c>
      <c r="B26" s="92">
        <f>B25</f>
        <v>-1313990.2958111998</v>
      </c>
      <c r="C26" s="92" t="e">
        <f t="shared" ref="C26:F26" si="10">C25-B25</f>
        <v>#DIV/0!</v>
      </c>
      <c r="D26" s="92" t="e">
        <f t="shared" si="10"/>
        <v>#DIV/0!</v>
      </c>
      <c r="E26" s="92" t="e">
        <f t="shared" si="10"/>
        <v>#DIV/0!</v>
      </c>
      <c r="F26" s="92" t="e">
        <f t="shared" si="10"/>
        <v>#DIV/0!</v>
      </c>
    </row>
    <row r="27" spans="1:6" ht="24">
      <c r="A27" s="44"/>
      <c r="B27" s="82"/>
      <c r="C27" s="82"/>
      <c r="D27" s="82"/>
      <c r="E27" s="82"/>
      <c r="F27" s="82"/>
    </row>
    <row r="28" spans="1:6" ht="24">
      <c r="A28" s="149" t="s">
        <v>530</v>
      </c>
      <c r="B28" s="153" t="str">
        <f t="shared" ref="B28:F28" si="11">B24</f>
        <v>ปีที่ 1</v>
      </c>
      <c r="C28" s="153" t="str">
        <f t="shared" si="11"/>
        <v>ปีที่ 2</v>
      </c>
      <c r="D28" s="153" t="str">
        <f t="shared" si="11"/>
        <v>ปีที่ 3</v>
      </c>
      <c r="E28" s="153" t="str">
        <f t="shared" si="11"/>
        <v>ปีที่ 4</v>
      </c>
      <c r="F28" s="153" t="str">
        <f t="shared" si="11"/>
        <v>ปีที่ 5</v>
      </c>
    </row>
    <row r="29" spans="1:6" ht="24">
      <c r="A29" s="91" t="s">
        <v>472</v>
      </c>
      <c r="B29" s="92">
        <f>สินค้าและส่งเสริมการขาย!B13</f>
        <v>100.0261334673872</v>
      </c>
      <c r="C29" s="92">
        <f>สินค้าและส่งเสริมการขาย!C13</f>
        <v>107.41344724664883</v>
      </c>
      <c r="D29" s="92">
        <f>สินค้าและส่งเสริมการขาย!D13</f>
        <v>115.34634249528777</v>
      </c>
      <c r="E29" s="92">
        <f>สินค้าและส่งเสริมการขาย!E13</f>
        <v>123.86511249833596</v>
      </c>
      <c r="F29" s="92">
        <f>สินค้าและส่งเสริมการขาย!F13</f>
        <v>133.01302635453931</v>
      </c>
    </row>
    <row r="30" spans="1:6" ht="24">
      <c r="A30" s="91" t="s">
        <v>533</v>
      </c>
      <c r="B30" s="92">
        <f>B29</f>
        <v>100.0261334673872</v>
      </c>
      <c r="C30" s="92">
        <f>C29-B29</f>
        <v>7.3873137792616319</v>
      </c>
      <c r="D30" s="92">
        <f t="shared" ref="C30:F30" si="12">D29-C29</f>
        <v>7.9328952486389426</v>
      </c>
      <c r="E30" s="92">
        <f t="shared" si="12"/>
        <v>8.5187700030481892</v>
      </c>
      <c r="F30" s="92">
        <f t="shared" si="12"/>
        <v>9.1479138562033455</v>
      </c>
    </row>
    <row r="31" spans="1:6" ht="24">
      <c r="A31" s="91"/>
      <c r="B31" s="92"/>
      <c r="C31" s="92"/>
      <c r="D31" s="92"/>
      <c r="E31" s="92"/>
      <c r="F31" s="92"/>
    </row>
    <row r="32" spans="1:6" ht="24">
      <c r="A32" s="149" t="s">
        <v>530</v>
      </c>
      <c r="B32" s="153" t="str">
        <f t="shared" ref="B32:F32" si="13">B28</f>
        <v>ปีที่ 1</v>
      </c>
      <c r="C32" s="153" t="str">
        <f t="shared" si="13"/>
        <v>ปีที่ 2</v>
      </c>
      <c r="D32" s="153" t="str">
        <f t="shared" si="13"/>
        <v>ปีที่ 3</v>
      </c>
      <c r="E32" s="153" t="str">
        <f t="shared" si="13"/>
        <v>ปีที่ 4</v>
      </c>
      <c r="F32" s="153" t="str">
        <f t="shared" si="13"/>
        <v>ปีที่ 5</v>
      </c>
    </row>
    <row r="33" spans="1:6" ht="24">
      <c r="A33" s="91" t="s">
        <v>534</v>
      </c>
      <c r="B33" s="92">
        <f t="shared" ref="B33:F33" si="14">B21</f>
        <v>-262798.05916223995</v>
      </c>
      <c r="C33" s="92" t="e">
        <f t="shared" si="14"/>
        <v>#DIV/0!</v>
      </c>
      <c r="D33" s="92" t="e">
        <f t="shared" si="14"/>
        <v>#DIV/0!</v>
      </c>
      <c r="E33" s="92" t="e">
        <f t="shared" si="14"/>
        <v>#DIV/0!</v>
      </c>
      <c r="F33" s="92" t="e">
        <f t="shared" si="14"/>
        <v>#DIV/0!</v>
      </c>
    </row>
    <row r="34" spans="1:6" ht="24">
      <c r="A34" s="91" t="s">
        <v>535</v>
      </c>
      <c r="B34" s="92">
        <f>B33</f>
        <v>-262798.05916223995</v>
      </c>
      <c r="C34" s="92" t="e">
        <f t="shared" ref="C34:F34" si="15">C33-B33</f>
        <v>#DIV/0!</v>
      </c>
      <c r="D34" s="92" t="e">
        <f t="shared" si="15"/>
        <v>#DIV/0!</v>
      </c>
      <c r="E34" s="92" t="e">
        <f t="shared" si="15"/>
        <v>#DIV/0!</v>
      </c>
      <c r="F34" s="92" t="e">
        <f t="shared" si="15"/>
        <v>#DIV/0!</v>
      </c>
    </row>
    <row r="35" spans="1:6" ht="24">
      <c r="A35" s="44"/>
      <c r="B35" s="82"/>
      <c r="C35" s="154"/>
      <c r="D35" s="155"/>
      <c r="E35" s="154"/>
      <c r="F35" s="82"/>
    </row>
  </sheetData>
  <mergeCells count="3">
    <mergeCell ref="A1:F1"/>
    <mergeCell ref="A16:B16"/>
    <mergeCell ref="A17:F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B8B6C-31A3-4D28-8094-69932E3B9103}">
  <dimension ref="A1:G27"/>
  <sheetViews>
    <sheetView topLeftCell="A6" workbookViewId="0">
      <selection activeCell="C9" sqref="C9"/>
    </sheetView>
  </sheetViews>
  <sheetFormatPr defaultRowHeight="14.25"/>
  <cols>
    <col min="1" max="1" width="30" bestFit="1" customWidth="1"/>
    <col min="2" max="2" width="10.125" bestFit="1" customWidth="1"/>
    <col min="3" max="6" width="8.625" bestFit="1" customWidth="1"/>
  </cols>
  <sheetData>
    <row r="1" spans="1:7" ht="24">
      <c r="A1" s="260" t="s">
        <v>536</v>
      </c>
      <c r="B1" s="271"/>
      <c r="C1" s="271"/>
      <c r="D1" s="271"/>
      <c r="E1" s="271"/>
      <c r="F1" s="271"/>
      <c r="G1" s="44"/>
    </row>
    <row r="2" spans="1:7" ht="24">
      <c r="A2" s="109" t="s">
        <v>537</v>
      </c>
      <c r="B2" s="110" t="s">
        <v>438</v>
      </c>
      <c r="C2" s="110" t="s">
        <v>439</v>
      </c>
      <c r="D2" s="110" t="s">
        <v>440</v>
      </c>
      <c r="E2" s="110" t="s">
        <v>441</v>
      </c>
      <c r="F2" s="110" t="s">
        <v>442</v>
      </c>
      <c r="G2" s="44"/>
    </row>
    <row r="3" spans="1:7" ht="24">
      <c r="A3" s="91" t="s">
        <v>306</v>
      </c>
      <c r="B3" s="92">
        <f>งบกำไรขาดทุน!B11</f>
        <v>-5255961.1832447993</v>
      </c>
      <c r="C3" s="92" t="e">
        <f>งบกำไรขาดทุน!C11</f>
        <v>#DIV/0!</v>
      </c>
      <c r="D3" s="92" t="e">
        <f>งบกำไรขาดทุน!D11</f>
        <v>#DIV/0!</v>
      </c>
      <c r="E3" s="92" t="e">
        <f>งบกำไรขาดทุน!E11</f>
        <v>#DIV/0!</v>
      </c>
      <c r="F3" s="92" t="e">
        <f>งบกำไรขาดทุน!F11</f>
        <v>#DIV/0!</v>
      </c>
      <c r="G3" s="44"/>
    </row>
    <row r="4" spans="1:7" ht="24">
      <c r="A4" s="111" t="s">
        <v>538</v>
      </c>
      <c r="B4" s="92">
        <f>การประมาณการค่าใช้จ่าย!B8</f>
        <v>810916.92</v>
      </c>
      <c r="C4" s="92">
        <f>การประมาณการค่าใช้จ่าย!C8</f>
        <v>810916.92</v>
      </c>
      <c r="D4" s="92">
        <f>การประมาณการค่าใช้จ่าย!D8</f>
        <v>810916.92</v>
      </c>
      <c r="E4" s="92">
        <f>การประมาณการค่าใช้จ่าย!E8</f>
        <v>810916.92</v>
      </c>
      <c r="F4" s="92">
        <f>การประมาณการค่าใช้จ่าย!F8</f>
        <v>810916.92</v>
      </c>
      <c r="G4" s="44"/>
    </row>
    <row r="5" spans="1:7" ht="24">
      <c r="A5" s="111" t="s">
        <v>539</v>
      </c>
      <c r="B5" s="92">
        <f>การประมาณการค่าใช้จ่าย!B9</f>
        <v>73719.72</v>
      </c>
      <c r="C5" s="92">
        <f>การประมาณการค่าใช้จ่าย!C9</f>
        <v>73719.72</v>
      </c>
      <c r="D5" s="92">
        <f>การประมาณการค่าใช้จ่าย!D9</f>
        <v>73719.72</v>
      </c>
      <c r="E5" s="92">
        <f>การประมาณการค่าใช้จ่าย!E9</f>
        <v>73719.72</v>
      </c>
      <c r="F5" s="92">
        <f>การประมาณการค่าใช้จ่าย!F9</f>
        <v>73719.72</v>
      </c>
      <c r="G5" s="44"/>
    </row>
    <row r="6" spans="1:7" ht="24">
      <c r="A6" s="111" t="s">
        <v>540</v>
      </c>
      <c r="B6" s="92">
        <f>งบกำไรขาดทุน!B8</f>
        <v>0</v>
      </c>
      <c r="C6" s="92" t="e">
        <f>งบกำไรขาดทุน!C8</f>
        <v>#DIV/0!</v>
      </c>
      <c r="D6" s="92" t="e">
        <f>งบกำไรขาดทุน!D8</f>
        <v>#DIV/0!</v>
      </c>
      <c r="E6" s="92" t="e">
        <f>งบกำไรขาดทุน!E8</f>
        <v>#DIV/0!</v>
      </c>
      <c r="F6" s="92" t="e">
        <f>งบกำไรขาดทุน!F8</f>
        <v>#DIV/0!</v>
      </c>
      <c r="G6" s="44"/>
    </row>
    <row r="7" spans="1:7" ht="24">
      <c r="A7" s="111" t="s">
        <v>541</v>
      </c>
      <c r="B7" s="92">
        <f>งบกำไรขาดทุน!B26</f>
        <v>-1313990.2958111998</v>
      </c>
      <c r="C7" s="92" t="e">
        <f>งบกำไรขาดทุน!C26</f>
        <v>#DIV/0!</v>
      </c>
      <c r="D7" s="92" t="e">
        <f>งบกำไรขาดทุน!D26</f>
        <v>#DIV/0!</v>
      </c>
      <c r="E7" s="92" t="e">
        <f>งบกำไรขาดทุน!E26</f>
        <v>#DIV/0!</v>
      </c>
      <c r="F7" s="92" t="e">
        <f>งบกำไรขาดทุน!F26</f>
        <v>#DIV/0!</v>
      </c>
      <c r="G7" s="44"/>
    </row>
    <row r="8" spans="1:7" ht="24">
      <c r="A8" s="111" t="s">
        <v>542</v>
      </c>
      <c r="B8" s="92">
        <f>งบกำไรขาดทุน!B34</f>
        <v>-262798.05916223995</v>
      </c>
      <c r="C8" s="92" t="e">
        <f>งบกำไรขาดทุน!C34</f>
        <v>#DIV/0!</v>
      </c>
      <c r="D8" s="92" t="e">
        <f>งบกำไรขาดทุน!D34</f>
        <v>#DIV/0!</v>
      </c>
      <c r="E8" s="92" t="e">
        <f>งบกำไรขาดทุน!E34</f>
        <v>#DIV/0!</v>
      </c>
      <c r="F8" s="92" t="e">
        <f>งบกำไรขาดทุน!F34</f>
        <v>#DIV/0!</v>
      </c>
      <c r="G8" s="44"/>
    </row>
    <row r="9" spans="1:7" ht="24">
      <c r="A9" s="91" t="s">
        <v>543</v>
      </c>
      <c r="B9" s="92">
        <f>งบกำไรขาดทุน!B30</f>
        <v>100.0261334673872</v>
      </c>
      <c r="C9" s="92">
        <f>งบกำไรขาดทุน!C30</f>
        <v>7.3873137792616319</v>
      </c>
      <c r="D9" s="92">
        <f>งบกำไรขาดทุน!D30</f>
        <v>7.9328952486389426</v>
      </c>
      <c r="E9" s="92">
        <f>งบกำไรขาดทุน!E30</f>
        <v>8.5187700030481892</v>
      </c>
      <c r="F9" s="92">
        <f>งบกำไรขาดทุน!F30</f>
        <v>9.1479138562033455</v>
      </c>
      <c r="G9" s="44"/>
    </row>
    <row r="10" spans="1:7" ht="24">
      <c r="A10" s="93" t="s">
        <v>544</v>
      </c>
      <c r="B10" s="94">
        <f>SUM(B3:B9)</f>
        <v>-5948012.8720847713</v>
      </c>
      <c r="C10" s="94" t="e">
        <f t="shared" ref="C10:F10" si="0">SUM(C3:C9)</f>
        <v>#DIV/0!</v>
      </c>
      <c r="D10" s="94" t="e">
        <f t="shared" si="0"/>
        <v>#DIV/0!</v>
      </c>
      <c r="E10" s="94" t="e">
        <f t="shared" si="0"/>
        <v>#DIV/0!</v>
      </c>
      <c r="F10" s="94" t="e">
        <f t="shared" si="0"/>
        <v>#DIV/0!</v>
      </c>
      <c r="G10" s="44"/>
    </row>
    <row r="11" spans="1:7" ht="24">
      <c r="A11" s="91" t="s">
        <v>545</v>
      </c>
      <c r="B11" s="92"/>
      <c r="C11" s="92"/>
      <c r="D11" s="92"/>
      <c r="E11" s="92"/>
      <c r="F11" s="92"/>
      <c r="G11" s="44"/>
    </row>
    <row r="12" spans="1:7" ht="24">
      <c r="A12" s="91" t="str">
        <f>[1]งบประมาณการลงทุน!A11</f>
        <v>สินทรัพย์ไม่หมุนเวียนรวม</v>
      </c>
      <c r="B12" s="92">
        <f>-งบประมาณการลงทุน!B11</f>
        <v>-3685986</v>
      </c>
      <c r="C12" s="92">
        <v>0</v>
      </c>
      <c r="D12" s="92">
        <v>0</v>
      </c>
      <c r="E12" s="92">
        <v>0</v>
      </c>
      <c r="F12" s="92">
        <v>0</v>
      </c>
      <c r="G12" s="44"/>
    </row>
    <row r="13" spans="1:7" ht="24">
      <c r="A13" s="91" t="s">
        <v>428</v>
      </c>
      <c r="B13" s="92">
        <f>-งบประมาณการลงทุน!B15</f>
        <v>-368598.60000000003</v>
      </c>
      <c r="C13" s="92">
        <v>0</v>
      </c>
      <c r="D13" s="92">
        <v>0</v>
      </c>
      <c r="E13" s="92">
        <v>0</v>
      </c>
      <c r="F13" s="92">
        <v>0</v>
      </c>
      <c r="G13" s="44"/>
    </row>
    <row r="14" spans="1:7" ht="24">
      <c r="A14" s="91" t="str">
        <f>[1]งบประมาณการลงทุน!A16</f>
        <v>ค่ามัดจำสถานที่</v>
      </c>
      <c r="B14" s="92">
        <f>-งบประมาณการลงทุน!B16</f>
        <v>0</v>
      </c>
      <c r="C14" s="92">
        <v>0</v>
      </c>
      <c r="D14" s="92">
        <v>0</v>
      </c>
      <c r="E14" s="92">
        <v>0</v>
      </c>
      <c r="F14" s="92">
        <v>0</v>
      </c>
      <c r="G14" s="44"/>
    </row>
    <row r="15" spans="1:7" ht="24">
      <c r="A15" s="112"/>
      <c r="B15" s="92"/>
      <c r="C15" s="92">
        <f t="shared" ref="C15:F15" si="1">SUM(C12:C14)</f>
        <v>0</v>
      </c>
      <c r="D15" s="92">
        <f t="shared" si="1"/>
        <v>0</v>
      </c>
      <c r="E15" s="92">
        <f t="shared" si="1"/>
        <v>0</v>
      </c>
      <c r="F15" s="92">
        <f t="shared" si="1"/>
        <v>0</v>
      </c>
      <c r="G15" s="44"/>
    </row>
    <row r="16" spans="1:7" ht="24">
      <c r="A16" s="93" t="s">
        <v>546</v>
      </c>
      <c r="B16" s="94">
        <f t="shared" ref="B16:F16" si="2">SUM(B12:B15)</f>
        <v>-4054584.6</v>
      </c>
      <c r="C16" s="94">
        <f t="shared" si="2"/>
        <v>0</v>
      </c>
      <c r="D16" s="94">
        <f t="shared" si="2"/>
        <v>0</v>
      </c>
      <c r="E16" s="94">
        <f t="shared" si="2"/>
        <v>0</v>
      </c>
      <c r="F16" s="94">
        <f t="shared" si="2"/>
        <v>0</v>
      </c>
      <c r="G16" s="44"/>
    </row>
    <row r="17" spans="1:7" ht="24">
      <c r="A17" s="91" t="s">
        <v>547</v>
      </c>
      <c r="B17" s="92"/>
      <c r="C17" s="92"/>
      <c r="D17" s="92"/>
      <c r="E17" s="92"/>
      <c r="F17" s="92"/>
      <c r="G17" s="44"/>
    </row>
    <row r="18" spans="1:7" ht="24">
      <c r="A18" s="91" t="s">
        <v>548</v>
      </c>
      <c r="B18" s="92">
        <f>การประมาณการค่าใช้จ่าย!B38</f>
        <v>0</v>
      </c>
      <c r="C18" s="92">
        <v>0</v>
      </c>
      <c r="D18" s="92">
        <v>0</v>
      </c>
      <c r="E18" s="92">
        <v>0</v>
      </c>
      <c r="F18" s="92">
        <v>0</v>
      </c>
      <c r="G18" s="44"/>
    </row>
    <row r="19" spans="1:7" ht="24">
      <c r="A19" s="91" t="s">
        <v>549</v>
      </c>
      <c r="B19" s="92" t="e">
        <f>-การประมาณการค่าใช้จ่าย!B39</f>
        <v>#DIV/0!</v>
      </c>
      <c r="C19" s="92" t="e">
        <f>-การประมาณการค่าใช้จ่าย!C39</f>
        <v>#DIV/0!</v>
      </c>
      <c r="D19" s="92" t="e">
        <f>-การประมาณการค่าใช้จ่าย!D39</f>
        <v>#DIV/0!</v>
      </c>
      <c r="E19" s="92" t="e">
        <f>-การประมาณการค่าใช้จ่าย!E39</f>
        <v>#DIV/0!</v>
      </c>
      <c r="F19" s="92" t="e">
        <f>-การประมาณการค่าใช้จ่าย!F39</f>
        <v>#DIV/0!</v>
      </c>
      <c r="G19" s="44"/>
    </row>
    <row r="20" spans="1:7" ht="24">
      <c r="A20" s="91" t="s">
        <v>550</v>
      </c>
      <c r="B20" s="92">
        <f>-งบกำไรขาดทุน!B8</f>
        <v>0</v>
      </c>
      <c r="C20" s="92" t="e">
        <f>-งบกำไรขาดทุน!C8</f>
        <v>#DIV/0!</v>
      </c>
      <c r="D20" s="92" t="e">
        <f>-งบกำไรขาดทุน!D8</f>
        <v>#DIV/0!</v>
      </c>
      <c r="E20" s="92" t="e">
        <f>-งบกำไรขาดทุน!E8</f>
        <v>#DIV/0!</v>
      </c>
      <c r="F20" s="92" t="e">
        <f>-งบกำไรขาดทุน!F8</f>
        <v>#DIV/0!</v>
      </c>
      <c r="G20" s="44"/>
    </row>
    <row r="21" spans="1:7" ht="24">
      <c r="A21" s="91" t="s">
        <v>551</v>
      </c>
      <c r="B21" s="92">
        <f>-งบกำไรขาดทุน!B21</f>
        <v>262798.05916223995</v>
      </c>
      <c r="C21" s="92" t="e">
        <f>-งบกำไรขาดทุน!C21</f>
        <v>#DIV/0!</v>
      </c>
      <c r="D21" s="92" t="e">
        <f>-งบกำไรขาดทุน!D21</f>
        <v>#DIV/0!</v>
      </c>
      <c r="E21" s="92" t="e">
        <f>-งบกำไรขาดทุน!E21</f>
        <v>#DIV/0!</v>
      </c>
      <c r="F21" s="92" t="e">
        <f>-งบกำไรขาดทุน!F21</f>
        <v>#DIV/0!</v>
      </c>
      <c r="G21" s="44"/>
    </row>
    <row r="22" spans="1:7" ht="24">
      <c r="A22" s="91" t="s">
        <v>552</v>
      </c>
      <c r="B22" s="92">
        <f>งบประมาณการลงทุน!C18</f>
        <v>4054584.6</v>
      </c>
      <c r="C22" s="92">
        <v>0</v>
      </c>
      <c r="D22" s="92">
        <v>0</v>
      </c>
      <c r="E22" s="92">
        <v>0</v>
      </c>
      <c r="F22" s="92">
        <v>0</v>
      </c>
      <c r="G22" s="44"/>
    </row>
    <row r="23" spans="1:7" ht="24">
      <c r="A23" s="93" t="s">
        <v>553</v>
      </c>
      <c r="B23" s="94" t="e">
        <f t="shared" ref="B23:F23" si="3">SUM(B18:B22)</f>
        <v>#DIV/0!</v>
      </c>
      <c r="C23" s="94" t="e">
        <f t="shared" si="3"/>
        <v>#DIV/0!</v>
      </c>
      <c r="D23" s="94" t="e">
        <f t="shared" si="3"/>
        <v>#DIV/0!</v>
      </c>
      <c r="E23" s="94" t="e">
        <f t="shared" si="3"/>
        <v>#DIV/0!</v>
      </c>
      <c r="F23" s="94" t="e">
        <f t="shared" si="3"/>
        <v>#DIV/0!</v>
      </c>
      <c r="G23" s="44"/>
    </row>
    <row r="24" spans="1:7" ht="24">
      <c r="A24" s="83" t="s">
        <v>554</v>
      </c>
      <c r="B24" s="84" t="e">
        <f t="shared" ref="B24:F24" si="4">B10+B16+B23</f>
        <v>#DIV/0!</v>
      </c>
      <c r="C24" s="84" t="e">
        <f t="shared" si="4"/>
        <v>#DIV/0!</v>
      </c>
      <c r="D24" s="84" t="e">
        <f t="shared" si="4"/>
        <v>#DIV/0!</v>
      </c>
      <c r="E24" s="84" t="e">
        <f t="shared" si="4"/>
        <v>#DIV/0!</v>
      </c>
      <c r="F24" s="84" t="e">
        <f t="shared" si="4"/>
        <v>#DIV/0!</v>
      </c>
      <c r="G24" s="44"/>
    </row>
    <row r="25" spans="1:7" ht="24">
      <c r="A25" s="91" t="s">
        <v>555</v>
      </c>
      <c r="B25" s="92">
        <v>0</v>
      </c>
      <c r="C25" s="92" t="e">
        <f t="shared" ref="C25:F25" si="5">B26</f>
        <v>#DIV/0!</v>
      </c>
      <c r="D25" s="92" t="e">
        <f t="shared" si="5"/>
        <v>#DIV/0!</v>
      </c>
      <c r="E25" s="92" t="e">
        <f t="shared" si="5"/>
        <v>#DIV/0!</v>
      </c>
      <c r="F25" s="92" t="e">
        <f t="shared" si="5"/>
        <v>#DIV/0!</v>
      </c>
      <c r="G25" s="44"/>
    </row>
    <row r="26" spans="1:7" ht="24">
      <c r="A26" s="91" t="s">
        <v>556</v>
      </c>
      <c r="B26" s="92" t="e">
        <f>SUM(B24:B25)</f>
        <v>#DIV/0!</v>
      </c>
      <c r="C26" s="92" t="e">
        <f t="shared" ref="C26:F26" si="6">C24+C25</f>
        <v>#DIV/0!</v>
      </c>
      <c r="D26" s="92" t="e">
        <f t="shared" si="6"/>
        <v>#DIV/0!</v>
      </c>
      <c r="E26" s="92" t="e">
        <f t="shared" si="6"/>
        <v>#DIV/0!</v>
      </c>
      <c r="F26" s="92" t="e">
        <f t="shared" si="6"/>
        <v>#DIV/0!</v>
      </c>
      <c r="G26" s="44"/>
    </row>
    <row r="27" spans="1:7" ht="24">
      <c r="A27" s="105" t="s">
        <v>415</v>
      </c>
      <c r="B27" s="82"/>
      <c r="C27" s="82"/>
      <c r="D27" s="82"/>
      <c r="E27" s="82"/>
      <c r="F27" s="82"/>
      <c r="G27" s="44"/>
    </row>
  </sheetData>
  <mergeCells count="1">
    <mergeCell ref="A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B9BAE-9A7C-4165-AD93-2501F9DE85F1}">
  <dimension ref="A1:G22"/>
  <sheetViews>
    <sheetView workbookViewId="0">
      <selection activeCell="C3" sqref="C3"/>
    </sheetView>
  </sheetViews>
  <sheetFormatPr defaultRowHeight="14.25"/>
  <cols>
    <col min="1" max="1" width="30" bestFit="1" customWidth="1"/>
    <col min="2" max="6" width="10.125" bestFit="1" customWidth="1"/>
  </cols>
  <sheetData>
    <row r="1" spans="1:7" ht="24">
      <c r="A1" s="260" t="s">
        <v>557</v>
      </c>
      <c r="B1" s="271"/>
      <c r="C1" s="271"/>
      <c r="D1" s="271"/>
      <c r="E1" s="271"/>
      <c r="F1" s="271"/>
      <c r="G1" s="44"/>
    </row>
    <row r="2" spans="1:7" ht="24">
      <c r="A2" s="113" t="s">
        <v>558</v>
      </c>
      <c r="B2" s="110" t="s">
        <v>438</v>
      </c>
      <c r="C2" s="110" t="s">
        <v>439</v>
      </c>
      <c r="D2" s="110" t="s">
        <v>440</v>
      </c>
      <c r="E2" s="110" t="s">
        <v>441</v>
      </c>
      <c r="F2" s="110" t="s">
        <v>442</v>
      </c>
      <c r="G2" s="44"/>
    </row>
    <row r="3" spans="1:7" ht="24">
      <c r="A3" s="91" t="s">
        <v>559</v>
      </c>
      <c r="B3" s="92"/>
      <c r="C3" s="92"/>
      <c r="D3" s="92"/>
      <c r="E3" s="92"/>
      <c r="F3" s="92"/>
      <c r="G3" s="44"/>
    </row>
    <row r="4" spans="1:7" ht="24">
      <c r="A4" s="91" t="s">
        <v>560</v>
      </c>
      <c r="B4" s="92" t="e">
        <f>งบกระแสเงินสด!B26</f>
        <v>#DIV/0!</v>
      </c>
      <c r="C4" s="92" t="e">
        <f>งบกระแสเงินสด!C26</f>
        <v>#DIV/0!</v>
      </c>
      <c r="D4" s="92" t="e">
        <f>งบกระแสเงินสด!D26</f>
        <v>#DIV/0!</v>
      </c>
      <c r="E4" s="92" t="e">
        <f>งบกระแสเงินสด!E26</f>
        <v>#DIV/0!</v>
      </c>
      <c r="F4" s="92" t="e">
        <f>งบกระแสเงินสด!F26</f>
        <v>#DIV/0!</v>
      </c>
      <c r="G4" s="44"/>
    </row>
    <row r="5" spans="1:7" ht="24">
      <c r="A5" s="91" t="s">
        <v>472</v>
      </c>
      <c r="B5" s="92">
        <f>งบกำไรขาดทุน!B29</f>
        <v>100.0261334673872</v>
      </c>
      <c r="C5" s="92">
        <f>งบกำไรขาดทุน!C29</f>
        <v>107.41344724664883</v>
      </c>
      <c r="D5" s="92">
        <f>งบกำไรขาดทุน!D29</f>
        <v>115.34634249528777</v>
      </c>
      <c r="E5" s="92">
        <f>งบกำไรขาดทุน!E29</f>
        <v>123.86511249833596</v>
      </c>
      <c r="F5" s="92">
        <f>งบกำไรขาดทุน!F29</f>
        <v>133.01302635453931</v>
      </c>
      <c r="G5" s="44"/>
    </row>
    <row r="6" spans="1:7" ht="24">
      <c r="A6" s="93" t="s">
        <v>561</v>
      </c>
      <c r="B6" s="94" t="e">
        <f t="shared" ref="B6:F6" si="0">SUM(B4:B5)</f>
        <v>#DIV/0!</v>
      </c>
      <c r="C6" s="94" t="e">
        <f t="shared" si="0"/>
        <v>#DIV/0!</v>
      </c>
      <c r="D6" s="94" t="e">
        <f t="shared" si="0"/>
        <v>#DIV/0!</v>
      </c>
      <c r="E6" s="94" t="e">
        <f t="shared" si="0"/>
        <v>#DIV/0!</v>
      </c>
      <c r="F6" s="94" t="e">
        <f t="shared" si="0"/>
        <v>#DIV/0!</v>
      </c>
      <c r="G6" s="44"/>
    </row>
    <row r="7" spans="1:7" ht="24">
      <c r="A7" s="91" t="str">
        <f>[1]ค่าเสื่อมและตัดจ่าย!A9</f>
        <v>สินทรัพย์ไม่หมุนเวียนรวมสุทธิ</v>
      </c>
      <c r="B7" s="92">
        <f>ค่าเสื่อมและตัดจ่าย!B9</f>
        <v>3243667.68</v>
      </c>
      <c r="C7" s="92">
        <f>ค่าเสื่อมและตัดจ่าย!C9</f>
        <v>2432750.7599999998</v>
      </c>
      <c r="D7" s="92">
        <f>ค่าเสื่อมและตัดจ่าย!D9</f>
        <v>1621833.8399999999</v>
      </c>
      <c r="E7" s="92">
        <f>ค่าเสื่อมและตัดจ่าย!E9</f>
        <v>810916.91999999993</v>
      </c>
      <c r="F7" s="92">
        <f>ค่าเสื่อมและตัดจ่าย!F9</f>
        <v>0</v>
      </c>
      <c r="G7" s="44"/>
    </row>
    <row r="8" spans="1:7" ht="24">
      <c r="A8" s="91" t="s">
        <v>562</v>
      </c>
      <c r="B8" s="92">
        <f>ค่าเสื่อมและตัดจ่าย!B18</f>
        <v>294878.88</v>
      </c>
      <c r="C8" s="92">
        <f>ค่าเสื่อมและตัดจ่าย!C18</f>
        <v>221159.16000000003</v>
      </c>
      <c r="D8" s="92">
        <f>ค่าเสื่อมและตัดจ่าย!D18</f>
        <v>147439.44000000003</v>
      </c>
      <c r="E8" s="92">
        <f>ค่าเสื่อมและตัดจ่าย!E18</f>
        <v>73719.72000000003</v>
      </c>
      <c r="F8" s="92">
        <f>ค่าเสื่อมและตัดจ่าย!F18</f>
        <v>0</v>
      </c>
      <c r="G8" s="44"/>
    </row>
    <row r="9" spans="1:7" ht="24">
      <c r="A9" s="114" t="s">
        <v>431</v>
      </c>
      <c r="B9" s="92">
        <f>งบประมาณการลงทุน!B16</f>
        <v>0</v>
      </c>
      <c r="C9" s="92">
        <f>งบประมาณการลงทุน!C16</f>
        <v>0</v>
      </c>
      <c r="D9" s="92">
        <f>งบประมาณการลงทุน!D16</f>
        <v>0</v>
      </c>
      <c r="E9" s="92">
        <f>งบประมาณการลงทุน!E16</f>
        <v>0</v>
      </c>
      <c r="F9" s="92">
        <f>งบประมาณการลงทุน!F16</f>
        <v>0</v>
      </c>
      <c r="G9" s="44"/>
    </row>
    <row r="10" spans="1:7" ht="24">
      <c r="A10" s="83" t="s">
        <v>563</v>
      </c>
      <c r="B10" s="84" t="e">
        <f t="shared" ref="B10:F10" si="1">SUM(B6:B9)</f>
        <v>#DIV/0!</v>
      </c>
      <c r="C10" s="84" t="e">
        <f t="shared" si="1"/>
        <v>#DIV/0!</v>
      </c>
      <c r="D10" s="84" t="e">
        <f t="shared" si="1"/>
        <v>#DIV/0!</v>
      </c>
      <c r="E10" s="84" t="e">
        <f t="shared" si="1"/>
        <v>#DIV/0!</v>
      </c>
      <c r="F10" s="84" t="e">
        <f t="shared" si="1"/>
        <v>#DIV/0!</v>
      </c>
      <c r="G10" s="44"/>
    </row>
    <row r="11" spans="1:7" ht="24">
      <c r="A11" s="18" t="s">
        <v>564</v>
      </c>
      <c r="B11" s="92"/>
      <c r="C11" s="92"/>
      <c r="D11" s="92"/>
      <c r="E11" s="92"/>
      <c r="F11" s="92"/>
      <c r="G11" s="44"/>
    </row>
    <row r="12" spans="1:7" ht="24">
      <c r="A12" s="91" t="s">
        <v>565</v>
      </c>
      <c r="B12" s="92">
        <f>งบกำไรขาดทุน!B10</f>
        <v>-1313990.2958111998</v>
      </c>
      <c r="C12" s="92" t="e">
        <f>งบกำไรขาดทุน!C10</f>
        <v>#DIV/0!</v>
      </c>
      <c r="D12" s="92" t="e">
        <f>งบกำไรขาดทุน!D10</f>
        <v>#DIV/0!</v>
      </c>
      <c r="E12" s="92" t="e">
        <f>งบกำไรขาดทุน!E10</f>
        <v>#DIV/0!</v>
      </c>
      <c r="F12" s="92" t="e">
        <f>งบกำไรขาดทุน!F10</f>
        <v>#DIV/0!</v>
      </c>
      <c r="G12" s="44"/>
    </row>
    <row r="13" spans="1:7" ht="24">
      <c r="A13" s="91" t="s">
        <v>566</v>
      </c>
      <c r="B13" s="92">
        <f>งบกำไรขาดทุน!B21</f>
        <v>-262798.05916223995</v>
      </c>
      <c r="C13" s="92" t="e">
        <f>งบกำไรขาดทุน!C21</f>
        <v>#DIV/0!</v>
      </c>
      <c r="D13" s="92" t="e">
        <f>งบกำไรขาดทุน!D21</f>
        <v>#DIV/0!</v>
      </c>
      <c r="E13" s="92" t="e">
        <f>งบกำไรขาดทุน!E21</f>
        <v>#DIV/0!</v>
      </c>
      <c r="F13" s="92" t="e">
        <f>งบกำไรขาดทุน!F21</f>
        <v>#DIV/0!</v>
      </c>
      <c r="G13" s="44"/>
    </row>
    <row r="14" spans="1:7" ht="24">
      <c r="A14" s="93" t="s">
        <v>567</v>
      </c>
      <c r="B14" s="94">
        <f t="shared" ref="B14:F14" si="2">SUM(B12:B13)</f>
        <v>-1576788.3549734398</v>
      </c>
      <c r="C14" s="94" t="e">
        <f t="shared" si="2"/>
        <v>#DIV/0!</v>
      </c>
      <c r="D14" s="94" t="e">
        <f t="shared" si="2"/>
        <v>#DIV/0!</v>
      </c>
      <c r="E14" s="94" t="e">
        <f t="shared" si="2"/>
        <v>#DIV/0!</v>
      </c>
      <c r="F14" s="94" t="e">
        <f t="shared" si="2"/>
        <v>#DIV/0!</v>
      </c>
      <c r="G14" s="44"/>
    </row>
    <row r="15" spans="1:7" ht="24">
      <c r="A15" s="91" t="s">
        <v>568</v>
      </c>
      <c r="B15" s="92" t="e">
        <f>การประมาณการค่าใช้จ่าย!B40</f>
        <v>#DIV/0!</v>
      </c>
      <c r="C15" s="92" t="e">
        <f>การประมาณการค่าใช้จ่าย!C40</f>
        <v>#DIV/0!</v>
      </c>
      <c r="D15" s="92" t="e">
        <f>การประมาณการค่าใช้จ่าย!D40</f>
        <v>#DIV/0!</v>
      </c>
      <c r="E15" s="92" t="e">
        <f>การประมาณการค่าใช้จ่าย!E40</f>
        <v>#DIV/0!</v>
      </c>
      <c r="F15" s="92" t="e">
        <f>การประมาณการค่าใช้จ่าย!F40</f>
        <v>#DIV/0!</v>
      </c>
      <c r="G15" s="44"/>
    </row>
    <row r="16" spans="1:7" ht="24">
      <c r="A16" s="93" t="s">
        <v>569</v>
      </c>
      <c r="B16" s="94" t="e">
        <f>B14+B15</f>
        <v>#DIV/0!</v>
      </c>
      <c r="C16" s="94" t="e">
        <f t="shared" ref="C16:F16" si="3">C14+C15</f>
        <v>#DIV/0!</v>
      </c>
      <c r="D16" s="94" t="e">
        <f t="shared" si="3"/>
        <v>#DIV/0!</v>
      </c>
      <c r="E16" s="94" t="e">
        <f t="shared" si="3"/>
        <v>#DIV/0!</v>
      </c>
      <c r="F16" s="94" t="e">
        <f t="shared" si="3"/>
        <v>#DIV/0!</v>
      </c>
      <c r="G16" s="44"/>
    </row>
    <row r="17" spans="1:7" ht="24">
      <c r="A17" s="91" t="s">
        <v>570</v>
      </c>
      <c r="B17" s="92">
        <f>งบกระแสเงินสด!B22</f>
        <v>4054584.6</v>
      </c>
      <c r="C17" s="92">
        <f t="shared" ref="C17:F17" si="4">B17</f>
        <v>4054584.6</v>
      </c>
      <c r="D17" s="92">
        <f t="shared" si="4"/>
        <v>4054584.6</v>
      </c>
      <c r="E17" s="92">
        <f t="shared" si="4"/>
        <v>4054584.6</v>
      </c>
      <c r="F17" s="92">
        <f t="shared" si="4"/>
        <v>4054584.6</v>
      </c>
      <c r="G17" s="44"/>
    </row>
    <row r="18" spans="1:7" ht="24">
      <c r="A18" s="91" t="s">
        <v>571</v>
      </c>
      <c r="B18" s="92">
        <f>งบกำไรขาดทุน!B22</f>
        <v>-4993163.1240825597</v>
      </c>
      <c r="C18" s="92" t="e">
        <f>งบกำไรขาดทุน!C22</f>
        <v>#DIV/0!</v>
      </c>
      <c r="D18" s="92" t="e">
        <f>งบกำไรขาดทุน!D22</f>
        <v>#DIV/0!</v>
      </c>
      <c r="E18" s="92" t="e">
        <f>งบกำไรขาดทุน!E22</f>
        <v>#DIV/0!</v>
      </c>
      <c r="F18" s="92" t="e">
        <f>งบกำไรขาดทุน!F22</f>
        <v>#DIV/0!</v>
      </c>
      <c r="G18" s="44"/>
    </row>
    <row r="19" spans="1:7" ht="24">
      <c r="A19" s="115" t="s">
        <v>572</v>
      </c>
      <c r="B19" s="116">
        <f>SUM(B17:B18)</f>
        <v>-938578.52408255963</v>
      </c>
      <c r="C19" s="116" t="e">
        <f t="shared" ref="C19:F19" si="5">SUM(C17:C18)</f>
        <v>#DIV/0!</v>
      </c>
      <c r="D19" s="116" t="e">
        <f t="shared" si="5"/>
        <v>#DIV/0!</v>
      </c>
      <c r="E19" s="116" t="e">
        <f t="shared" si="5"/>
        <v>#DIV/0!</v>
      </c>
      <c r="F19" s="116" t="e">
        <f t="shared" si="5"/>
        <v>#DIV/0!</v>
      </c>
      <c r="G19" s="44"/>
    </row>
    <row r="20" spans="1:7" ht="24">
      <c r="A20" s="117" t="s">
        <v>573</v>
      </c>
      <c r="B20" s="118" t="e">
        <f t="shared" ref="B20:F20" si="6">B16+B19</f>
        <v>#DIV/0!</v>
      </c>
      <c r="C20" s="118" t="e">
        <f t="shared" si="6"/>
        <v>#DIV/0!</v>
      </c>
      <c r="D20" s="118" t="e">
        <f t="shared" si="6"/>
        <v>#DIV/0!</v>
      </c>
      <c r="E20" s="118" t="e">
        <f t="shared" si="6"/>
        <v>#DIV/0!</v>
      </c>
      <c r="F20" s="118" t="e">
        <f t="shared" si="6"/>
        <v>#DIV/0!</v>
      </c>
      <c r="G20" s="44"/>
    </row>
    <row r="21" spans="1:7" ht="24">
      <c r="A21" s="44"/>
      <c r="B21" s="82" t="e">
        <f t="shared" ref="B21:F21" si="7">B10-B20</f>
        <v>#DIV/0!</v>
      </c>
      <c r="C21" s="82" t="e">
        <f>C10-C20</f>
        <v>#DIV/0!</v>
      </c>
      <c r="D21" s="82" t="e">
        <f t="shared" si="7"/>
        <v>#DIV/0!</v>
      </c>
      <c r="E21" s="82" t="e">
        <f t="shared" si="7"/>
        <v>#DIV/0!</v>
      </c>
      <c r="F21" s="82" t="e">
        <f t="shared" si="7"/>
        <v>#DIV/0!</v>
      </c>
      <c r="G21" s="44"/>
    </row>
    <row r="22" spans="1:7" ht="24">
      <c r="A22" s="105" t="s">
        <v>415</v>
      </c>
      <c r="B22" s="119"/>
      <c r="C22" s="120"/>
      <c r="D22" s="120"/>
      <c r="E22" s="120"/>
      <c r="F22" s="120"/>
      <c r="G22" s="44"/>
    </row>
  </sheetData>
  <mergeCells count="1"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FD2E-6D85-4891-BA01-51FC71C24D78}">
  <dimension ref="A1:E17"/>
  <sheetViews>
    <sheetView workbookViewId="0">
      <selection activeCell="C4" sqref="C4"/>
    </sheetView>
  </sheetViews>
  <sheetFormatPr defaultRowHeight="14.25"/>
  <cols>
    <col min="1" max="1" width="15.625" customWidth="1"/>
    <col min="2" max="2" width="31.25" bestFit="1" customWidth="1"/>
    <col min="3" max="3" width="10.875" bestFit="1" customWidth="1"/>
  </cols>
  <sheetData>
    <row r="1" spans="1:5" ht="30">
      <c r="A1" s="260" t="s">
        <v>574</v>
      </c>
      <c r="B1" s="271"/>
      <c r="C1" s="271"/>
      <c r="D1" s="121"/>
      <c r="E1" s="122"/>
    </row>
    <row r="2" spans="1:5" ht="30">
      <c r="A2" s="18" t="s">
        <v>575</v>
      </c>
      <c r="B2" s="18" t="s">
        <v>576</v>
      </c>
      <c r="C2" s="104" t="s">
        <v>577</v>
      </c>
      <c r="D2" s="121"/>
      <c r="E2" s="122"/>
    </row>
    <row r="3" spans="1:5" ht="30">
      <c r="A3" s="18">
        <v>0</v>
      </c>
      <c r="B3" s="114" t="s">
        <v>578</v>
      </c>
      <c r="C3" s="92">
        <f>-งบประมาณการลงทุน!B18</f>
        <v>-4054584.6</v>
      </c>
      <c r="D3" s="121"/>
      <c r="E3" s="122"/>
    </row>
    <row r="4" spans="1:5" ht="30">
      <c r="A4" s="18">
        <v>1</v>
      </c>
      <c r="B4" s="114" t="s">
        <v>579</v>
      </c>
      <c r="C4" s="84" t="e">
        <f>งบกระแสเงินสด!B24</f>
        <v>#DIV/0!</v>
      </c>
      <c r="D4" s="121"/>
      <c r="E4" s="122"/>
    </row>
    <row r="5" spans="1:5" ht="30">
      <c r="A5" s="18">
        <v>2</v>
      </c>
      <c r="B5" s="114" t="s">
        <v>579</v>
      </c>
      <c r="C5" s="84" t="e">
        <f>งบกระแสเงินสด!C24</f>
        <v>#DIV/0!</v>
      </c>
      <c r="D5" s="121"/>
      <c r="E5" s="122"/>
    </row>
    <row r="6" spans="1:5" ht="30">
      <c r="A6" s="18">
        <v>3</v>
      </c>
      <c r="B6" s="114" t="s">
        <v>579</v>
      </c>
      <c r="C6" s="84" t="e">
        <f>งบกระแสเงินสด!D24</f>
        <v>#DIV/0!</v>
      </c>
      <c r="D6" s="121"/>
      <c r="E6" s="122"/>
    </row>
    <row r="7" spans="1:5" ht="30">
      <c r="A7" s="18">
        <v>4</v>
      </c>
      <c r="B7" s="114" t="s">
        <v>579</v>
      </c>
      <c r="C7" s="84" t="e">
        <f>งบกระแสเงินสด!E24</f>
        <v>#DIV/0!</v>
      </c>
      <c r="D7" s="121"/>
      <c r="E7" s="122"/>
    </row>
    <row r="8" spans="1:5" ht="30">
      <c r="A8" s="18">
        <v>5</v>
      </c>
      <c r="B8" s="123" t="s">
        <v>580</v>
      </c>
      <c r="C8" s="124" t="e">
        <f>งบกระแสเงินสด!F24+งบประมาณการลงทุน!B16+งบประมาณการลงทุน!B17</f>
        <v>#DIV/0!</v>
      </c>
      <c r="D8" s="121"/>
      <c r="E8" s="122"/>
    </row>
    <row r="9" spans="1:5" ht="30">
      <c r="A9" s="125"/>
      <c r="B9" s="126"/>
      <c r="C9" s="107"/>
      <c r="D9" s="121"/>
      <c r="E9" s="122"/>
    </row>
    <row r="10" spans="1:5" ht="30">
      <c r="A10" s="127"/>
      <c r="B10" s="128" t="s">
        <v>581</v>
      </c>
      <c r="C10" s="129">
        <v>0.15</v>
      </c>
      <c r="D10" s="121"/>
      <c r="E10" s="122"/>
    </row>
    <row r="11" spans="1:5" ht="30">
      <c r="A11" s="130"/>
      <c r="B11" s="131" t="s">
        <v>582</v>
      </c>
      <c r="C11" s="88" t="e">
        <f>NPV($C$10,C4:C8)</f>
        <v>#DIV/0!</v>
      </c>
      <c r="D11" s="121"/>
      <c r="E11" s="122"/>
    </row>
    <row r="12" spans="1:5" ht="30">
      <c r="A12" s="130"/>
      <c r="B12" s="131" t="s">
        <v>583</v>
      </c>
      <c r="C12" s="88">
        <f>C3</f>
        <v>-4054584.6</v>
      </c>
      <c r="D12" s="121"/>
      <c r="E12" s="122"/>
    </row>
    <row r="13" spans="1:5" ht="30">
      <c r="A13" s="130"/>
      <c r="B13" s="131" t="s">
        <v>584</v>
      </c>
      <c r="C13" s="88" t="e">
        <f>SUM(C11:C12)</f>
        <v>#DIV/0!</v>
      </c>
      <c r="D13" s="121"/>
      <c r="E13" s="122"/>
    </row>
    <row r="14" spans="1:5" ht="30">
      <c r="A14" s="132"/>
      <c r="B14" s="133" t="s">
        <v>585</v>
      </c>
      <c r="C14" s="134" t="e">
        <f>IRR(C3:C8)</f>
        <v>#VALUE!</v>
      </c>
      <c r="D14" s="121"/>
      <c r="E14" s="122"/>
    </row>
    <row r="15" spans="1:5" ht="30">
      <c r="A15" s="135"/>
      <c r="B15" s="136"/>
      <c r="C15" s="137"/>
      <c r="D15" s="121"/>
      <c r="E15" s="122"/>
    </row>
    <row r="16" spans="1:5" ht="27">
      <c r="A16" s="138" t="s">
        <v>586</v>
      </c>
      <c r="B16" s="138"/>
      <c r="C16" s="139"/>
      <c r="D16" s="138"/>
      <c r="E16" s="140"/>
    </row>
    <row r="17" spans="1:5" ht="30">
      <c r="A17" s="135"/>
      <c r="B17" s="141" t="s">
        <v>415</v>
      </c>
      <c r="C17" s="142"/>
      <c r="D17" s="122"/>
      <c r="E17" s="122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10"/>
  <sheetViews>
    <sheetView zoomScale="30" zoomScaleNormal="30" workbookViewId="0">
      <selection activeCell="B5" sqref="B5"/>
    </sheetView>
  </sheetViews>
  <sheetFormatPr defaultRowHeight="14.25"/>
  <cols>
    <col min="1" max="1" width="37.375" bestFit="1" customWidth="1"/>
    <col min="2" max="2" width="34.125" bestFit="1" customWidth="1"/>
    <col min="3" max="3" width="34.75" customWidth="1"/>
    <col min="4" max="4" width="13.125" bestFit="1" customWidth="1"/>
    <col min="5" max="5" width="18" bestFit="1" customWidth="1"/>
    <col min="6" max="6" width="15.125" bestFit="1" customWidth="1"/>
    <col min="7" max="7" width="17.25" customWidth="1"/>
    <col min="8" max="8" width="28.5" bestFit="1" customWidth="1"/>
    <col min="9" max="9" width="18" bestFit="1" customWidth="1"/>
    <col min="10" max="10" width="13.125" bestFit="1" customWidth="1"/>
    <col min="11" max="11" width="15.125" bestFit="1" customWidth="1"/>
    <col min="12" max="12" width="10.25" customWidth="1"/>
    <col min="13" max="13" width="13.625" bestFit="1" customWidth="1"/>
    <col min="14" max="14" width="18" bestFit="1" customWidth="1"/>
    <col min="15" max="15" width="13.125" bestFit="1" customWidth="1"/>
    <col min="16" max="16" width="13.375" bestFit="1" customWidth="1"/>
    <col min="17" max="17" width="13.875" bestFit="1" customWidth="1"/>
    <col min="18" max="18" width="11.375" bestFit="1" customWidth="1"/>
    <col min="19" max="19" width="22.25" bestFit="1" customWidth="1"/>
    <col min="20" max="20" width="13.625" bestFit="1" customWidth="1"/>
    <col min="21" max="21" width="13.375" bestFit="1" customWidth="1"/>
    <col min="22" max="22" width="18" bestFit="1" customWidth="1"/>
    <col min="23" max="23" width="10.625" bestFit="1" customWidth="1"/>
    <col min="24" max="24" width="19.125" bestFit="1" customWidth="1"/>
    <col min="26" max="26" width="13.375" bestFit="1" customWidth="1"/>
    <col min="27" max="28" width="11.375" bestFit="1" customWidth="1"/>
    <col min="29" max="29" width="20.375" bestFit="1" customWidth="1"/>
    <col min="31" max="31" width="12.375" bestFit="1" customWidth="1"/>
    <col min="32" max="33" width="11.375" bestFit="1" customWidth="1"/>
    <col min="34" max="34" width="20.375" bestFit="1" customWidth="1"/>
    <col min="36" max="36" width="12.375" bestFit="1" customWidth="1"/>
    <col min="37" max="38" width="11.375" bestFit="1" customWidth="1"/>
    <col min="39" max="39" width="20.375" bestFit="1" customWidth="1"/>
  </cols>
  <sheetData>
    <row r="1" spans="1:39" ht="15" thickBot="1">
      <c r="A1" s="1" t="s">
        <v>16</v>
      </c>
      <c r="B1" s="1" t="s">
        <v>17</v>
      </c>
      <c r="C1" s="1" t="s">
        <v>18</v>
      </c>
      <c r="F1" t="s">
        <v>19</v>
      </c>
      <c r="G1" t="s">
        <v>20</v>
      </c>
      <c r="H1" t="s">
        <v>1</v>
      </c>
      <c r="I1" t="s">
        <v>21</v>
      </c>
      <c r="K1">
        <v>1.03</v>
      </c>
      <c r="P1" s="172" t="s">
        <v>22</v>
      </c>
      <c r="Q1" s="172" t="s">
        <v>23</v>
      </c>
      <c r="R1" s="172" t="s">
        <v>24</v>
      </c>
      <c r="S1" s="172" t="s">
        <v>25</v>
      </c>
      <c r="U1" s="172" t="s">
        <v>22</v>
      </c>
      <c r="V1" s="172" t="s">
        <v>23</v>
      </c>
      <c r="W1" s="172" t="s">
        <v>24</v>
      </c>
      <c r="X1" s="172" t="s">
        <v>25</v>
      </c>
      <c r="Z1" s="172" t="s">
        <v>22</v>
      </c>
      <c r="AA1" s="172" t="s">
        <v>23</v>
      </c>
      <c r="AB1" s="172" t="s">
        <v>24</v>
      </c>
      <c r="AC1" s="172" t="s">
        <v>25</v>
      </c>
      <c r="AE1" s="172" t="s">
        <v>22</v>
      </c>
      <c r="AF1" s="172" t="s">
        <v>23</v>
      </c>
      <c r="AG1" s="172" t="s">
        <v>24</v>
      </c>
      <c r="AH1" s="172" t="s">
        <v>25</v>
      </c>
      <c r="AJ1" s="172" t="s">
        <v>22</v>
      </c>
      <c r="AK1" s="172" t="s">
        <v>23</v>
      </c>
      <c r="AL1" s="172" t="s">
        <v>24</v>
      </c>
      <c r="AM1" s="172" t="s">
        <v>25</v>
      </c>
    </row>
    <row r="2" spans="1:39" ht="15.75" thickTop="1" thickBot="1">
      <c r="A2" t="s">
        <v>26</v>
      </c>
      <c r="B2" s="2">
        <v>1090</v>
      </c>
      <c r="C2" t="s">
        <v>27</v>
      </c>
      <c r="E2" t="s">
        <v>28</v>
      </c>
      <c r="F2" s="161">
        <v>1</v>
      </c>
      <c r="G2" s="161" t="s">
        <v>29</v>
      </c>
      <c r="H2" s="161" t="s">
        <v>30</v>
      </c>
      <c r="I2" s="162">
        <v>100000</v>
      </c>
      <c r="K2" s="169">
        <f t="shared" ref="K2:K42" si="0">I2*$K$1</f>
        <v>103000</v>
      </c>
      <c r="L2" s="169">
        <f t="shared" ref="L2:N21" si="1">K2*$K$1</f>
        <v>106090</v>
      </c>
      <c r="M2" s="169">
        <f t="shared" si="1"/>
        <v>109272.7</v>
      </c>
      <c r="N2" s="169">
        <f t="shared" si="1"/>
        <v>112550.88099999999</v>
      </c>
      <c r="P2" s="172">
        <f t="shared" ref="P2:P42" si="2">MIN(I2*$P$44,750)</f>
        <v>750</v>
      </c>
      <c r="Q2" s="172">
        <f>I2*$Q$44</f>
        <v>250</v>
      </c>
      <c r="R2" s="172">
        <f>($R$44*MIN(I2,20000))*IF(I2&gt;0,1,0)</f>
        <v>40</v>
      </c>
      <c r="S2" s="172">
        <f>SUM(P2:R2)</f>
        <v>1040</v>
      </c>
      <c r="U2" s="172">
        <f>MIN(K2*$U$44,750)</f>
        <v>750</v>
      </c>
      <c r="V2" s="172">
        <f>K2*$V$44</f>
        <v>257.5</v>
      </c>
      <c r="W2" s="172">
        <f>($W$44*MIN(K2,20000))*IF(K2&gt;0,1,0)</f>
        <v>40</v>
      </c>
      <c r="X2" s="172">
        <f>SUM(U2:W2)</f>
        <v>1047.5</v>
      </c>
      <c r="Z2" s="172">
        <f>MIN(L2*$Z$44,750)</f>
        <v>750</v>
      </c>
      <c r="AA2" s="172">
        <f>L2*$AA$44</f>
        <v>265.22500000000002</v>
      </c>
      <c r="AB2" s="172">
        <f>($AB$44*MIN(L2,20000))*IF(L2&gt;0,1,0)</f>
        <v>50</v>
      </c>
      <c r="AC2" s="172">
        <f>SUM(Z2:AB2)</f>
        <v>1065.2249999999999</v>
      </c>
      <c r="AE2" s="172">
        <f>MIN(M2*$AE$44,750)</f>
        <v>750</v>
      </c>
      <c r="AF2" s="172">
        <f>M2*$AF$44</f>
        <v>273.18175000000002</v>
      </c>
      <c r="AG2" s="172">
        <f>($AG$44*MIN(M2,20000))*IF(M2&gt;0,1,0)</f>
        <v>50</v>
      </c>
      <c r="AH2" s="172">
        <f>SUM(AE2:AG2)</f>
        <v>1073.18175</v>
      </c>
      <c r="AJ2" s="172">
        <f>MIN(N2*$AJ$44,750)</f>
        <v>750</v>
      </c>
      <c r="AK2" s="172">
        <f>N2*$AK$44</f>
        <v>281.37720250000001</v>
      </c>
      <c r="AL2" s="172">
        <f>($AL$44*MIN(N2,20000))*IF(N2&gt;0,1,0)</f>
        <v>50</v>
      </c>
      <c r="AM2" s="172">
        <f>SUM(AJ2:AL2)</f>
        <v>1081.3772025000001</v>
      </c>
    </row>
    <row r="3" spans="1:39" ht="15.75" thickTop="1" thickBot="1">
      <c r="A3" t="s">
        <v>31</v>
      </c>
      <c r="B3" s="2">
        <v>2649</v>
      </c>
      <c r="C3" t="s">
        <v>32</v>
      </c>
      <c r="D3" s="160">
        <f>'BEP-PP-NPV-IRR'!B4</f>
        <v>2416.2959353229344</v>
      </c>
      <c r="E3" s="168">
        <f>B3/30</f>
        <v>88.3</v>
      </c>
      <c r="F3" s="161">
        <v>2</v>
      </c>
      <c r="G3" s="161" t="s">
        <v>33</v>
      </c>
      <c r="H3" s="161" t="s">
        <v>34</v>
      </c>
      <c r="I3" s="162">
        <v>50000</v>
      </c>
      <c r="K3" s="169">
        <f t="shared" si="0"/>
        <v>51500</v>
      </c>
      <c r="L3" s="169">
        <f t="shared" si="1"/>
        <v>53045</v>
      </c>
      <c r="M3" s="169">
        <f t="shared" si="1"/>
        <v>54636.35</v>
      </c>
      <c r="N3" s="169">
        <f t="shared" si="1"/>
        <v>56275.440499999997</v>
      </c>
      <c r="P3" s="172">
        <f t="shared" si="2"/>
        <v>750</v>
      </c>
      <c r="Q3" s="172">
        <f>I3*$Q$44</f>
        <v>125</v>
      </c>
      <c r="R3" s="172">
        <f t="shared" ref="R3:R42" si="3">($R$44*MIN(I3,20000))*IF(I3&gt;0,1,0)</f>
        <v>40</v>
      </c>
      <c r="S3" s="172">
        <f t="shared" ref="S3:S42" si="4">SUM(P3:R3)</f>
        <v>915</v>
      </c>
      <c r="U3" s="172">
        <f t="shared" ref="U3:U42" si="5">MIN(K3*$U$44,750)</f>
        <v>750</v>
      </c>
      <c r="V3" s="172">
        <f t="shared" ref="V3:V42" si="6">K3*$V$44</f>
        <v>128.75</v>
      </c>
      <c r="W3" s="172">
        <f t="shared" ref="W3:W42" si="7">($W$44*MIN(K3,20000))*IF(K3&gt;0,1,0)</f>
        <v>40</v>
      </c>
      <c r="X3" s="172">
        <f t="shared" ref="X3:X42" si="8">SUM(U3:W3)</f>
        <v>918.75</v>
      </c>
      <c r="Z3" s="172">
        <f t="shared" ref="Z3:Z42" si="9">MIN(L3*$Z$44,750)</f>
        <v>750</v>
      </c>
      <c r="AA3" s="172">
        <f t="shared" ref="AA3:AA42" si="10">L3*$AA$44</f>
        <v>132.61250000000001</v>
      </c>
      <c r="AB3" s="172">
        <f t="shared" ref="AB3:AB42" si="11">($AB$44*MIN(L3,20000))*IF(L3&gt;0,1,0)</f>
        <v>50</v>
      </c>
      <c r="AC3" s="172">
        <f t="shared" ref="AC3:AC42" si="12">SUM(Z3:AB3)</f>
        <v>932.61249999999995</v>
      </c>
      <c r="AE3" s="172">
        <f t="shared" ref="AE3:AE42" si="13">MIN(M3*$AE$44,750)</f>
        <v>750</v>
      </c>
      <c r="AF3" s="172">
        <f t="shared" ref="AF3:AF42" si="14">M3*$AF$44</f>
        <v>136.59087500000001</v>
      </c>
      <c r="AG3" s="172">
        <f t="shared" ref="AG3:AG42" si="15">($AG$44*MIN(M3,20000))*IF(M3&gt;0,1,0)</f>
        <v>50</v>
      </c>
      <c r="AH3" s="172">
        <f t="shared" ref="AH3:AH42" si="16">SUM(AE3:AG3)</f>
        <v>936.59087499999998</v>
      </c>
      <c r="AJ3" s="172">
        <f t="shared" ref="AJ3:AJ42" si="17">MIN(N3*$AJ$44,750)</f>
        <v>750</v>
      </c>
      <c r="AK3" s="172">
        <f t="shared" ref="AK3:AK42" si="18">N3*$AK$44</f>
        <v>140.68860125</v>
      </c>
      <c r="AL3" s="172">
        <f t="shared" ref="AL3:AL42" si="19">($AL$44*MIN(N3,20000))*IF(N3&gt;0,1,0)</f>
        <v>50</v>
      </c>
      <c r="AM3" s="172">
        <f t="shared" ref="AM3:AM42" si="20">SUM(AJ3:AL3)</f>
        <v>940.68860125000003</v>
      </c>
    </row>
    <row r="4" spans="1:39" ht="15.75" thickTop="1" thickBot="1">
      <c r="A4" t="s">
        <v>35</v>
      </c>
      <c r="B4" s="2">
        <f>B31</f>
        <v>585</v>
      </c>
      <c r="C4" t="s">
        <v>36</v>
      </c>
      <c r="F4" s="161">
        <v>3</v>
      </c>
      <c r="G4" s="161" t="s">
        <v>33</v>
      </c>
      <c r="H4" s="161" t="s">
        <v>37</v>
      </c>
      <c r="I4" s="162">
        <v>40000</v>
      </c>
      <c r="K4" s="169">
        <f t="shared" si="0"/>
        <v>41200</v>
      </c>
      <c r="L4" s="169">
        <f t="shared" si="1"/>
        <v>42436</v>
      </c>
      <c r="M4" s="169">
        <f t="shared" si="1"/>
        <v>43709.08</v>
      </c>
      <c r="N4" s="169">
        <f t="shared" si="1"/>
        <v>45020.352400000003</v>
      </c>
      <c r="P4" s="172">
        <f t="shared" si="2"/>
        <v>750</v>
      </c>
      <c r="Q4" s="172">
        <f t="shared" ref="Q4:Q42" si="21">I4*$Q$44</f>
        <v>100</v>
      </c>
      <c r="R4" s="172">
        <f t="shared" si="3"/>
        <v>40</v>
      </c>
      <c r="S4" s="172">
        <f t="shared" si="4"/>
        <v>890</v>
      </c>
      <c r="U4" s="172">
        <f t="shared" si="5"/>
        <v>750</v>
      </c>
      <c r="V4" s="172">
        <f t="shared" si="6"/>
        <v>103</v>
      </c>
      <c r="W4" s="172">
        <f t="shared" si="7"/>
        <v>40</v>
      </c>
      <c r="X4" s="172">
        <f t="shared" si="8"/>
        <v>893</v>
      </c>
      <c r="Z4" s="172">
        <f t="shared" si="9"/>
        <v>750</v>
      </c>
      <c r="AA4" s="172">
        <f t="shared" si="10"/>
        <v>106.09</v>
      </c>
      <c r="AB4" s="172">
        <f t="shared" si="11"/>
        <v>50</v>
      </c>
      <c r="AC4" s="172">
        <f t="shared" si="12"/>
        <v>906.09</v>
      </c>
      <c r="AE4" s="172">
        <f t="shared" si="13"/>
        <v>750</v>
      </c>
      <c r="AF4" s="172">
        <f t="shared" si="14"/>
        <v>109.2727</v>
      </c>
      <c r="AG4" s="172">
        <f t="shared" si="15"/>
        <v>50</v>
      </c>
      <c r="AH4" s="172">
        <f t="shared" si="16"/>
        <v>909.27269999999999</v>
      </c>
      <c r="AJ4" s="172">
        <f t="shared" si="17"/>
        <v>750</v>
      </c>
      <c r="AK4" s="172">
        <f t="shared" si="18"/>
        <v>112.550881</v>
      </c>
      <c r="AL4" s="172">
        <f t="shared" si="19"/>
        <v>50</v>
      </c>
      <c r="AM4" s="172">
        <f t="shared" si="20"/>
        <v>912.550881</v>
      </c>
    </row>
    <row r="5" spans="1:39" ht="15.75" thickTop="1" thickBot="1">
      <c r="A5" t="s">
        <v>38</v>
      </c>
      <c r="B5" s="2">
        <f>I43</f>
        <v>430000</v>
      </c>
      <c r="C5" t="s">
        <v>39</v>
      </c>
      <c r="F5" s="161">
        <v>4</v>
      </c>
      <c r="G5" s="161" t="s">
        <v>40</v>
      </c>
      <c r="H5" s="161" t="s">
        <v>41</v>
      </c>
      <c r="I5" s="162">
        <v>45000</v>
      </c>
      <c r="J5" s="158"/>
      <c r="K5" s="169">
        <f t="shared" ref="K5:K13" si="22">I5*$K$1</f>
        <v>46350</v>
      </c>
      <c r="L5" s="169">
        <f t="shared" si="1"/>
        <v>47740.5</v>
      </c>
      <c r="M5" s="169">
        <f t="shared" si="1"/>
        <v>49172.715000000004</v>
      </c>
      <c r="N5" s="169">
        <f t="shared" si="1"/>
        <v>50647.896450000007</v>
      </c>
      <c r="P5" s="172">
        <f t="shared" ref="P5:P13" si="23">MIN(I5*$P$44,750)</f>
        <v>750</v>
      </c>
      <c r="Q5" s="172">
        <f t="shared" ref="Q5:Q13" si="24">I5*$Q$44</f>
        <v>112.5</v>
      </c>
      <c r="R5" s="172">
        <f t="shared" ref="R5:R13" si="25">($R$44*MIN(I5,20000))*IF(I5&gt;0,1,0)</f>
        <v>40</v>
      </c>
      <c r="S5" s="172">
        <f t="shared" si="4"/>
        <v>902.5</v>
      </c>
      <c r="U5" s="172">
        <f t="shared" si="5"/>
        <v>750</v>
      </c>
      <c r="V5" s="172">
        <f t="shared" si="6"/>
        <v>115.875</v>
      </c>
      <c r="W5" s="172">
        <f t="shared" si="7"/>
        <v>40</v>
      </c>
      <c r="X5" s="172">
        <f t="shared" si="8"/>
        <v>905.875</v>
      </c>
      <c r="Z5" s="172">
        <f t="shared" si="9"/>
        <v>750</v>
      </c>
      <c r="AA5" s="172">
        <f t="shared" si="10"/>
        <v>119.35125000000001</v>
      </c>
      <c r="AB5" s="172">
        <f t="shared" si="11"/>
        <v>50</v>
      </c>
      <c r="AC5" s="172">
        <f t="shared" si="12"/>
        <v>919.35125000000005</v>
      </c>
      <c r="AE5" s="172">
        <f t="shared" si="13"/>
        <v>750</v>
      </c>
      <c r="AF5" s="172">
        <f t="shared" si="14"/>
        <v>122.93178750000001</v>
      </c>
      <c r="AG5" s="172">
        <f t="shared" si="15"/>
        <v>50</v>
      </c>
      <c r="AH5" s="172">
        <f t="shared" si="16"/>
        <v>922.93178750000004</v>
      </c>
      <c r="AJ5" s="172">
        <f t="shared" si="17"/>
        <v>750</v>
      </c>
      <c r="AK5" s="172">
        <f t="shared" si="18"/>
        <v>126.61974112500002</v>
      </c>
      <c r="AL5" s="172">
        <f t="shared" si="19"/>
        <v>50</v>
      </c>
      <c r="AM5" s="172">
        <f t="shared" si="20"/>
        <v>926.61974112500002</v>
      </c>
    </row>
    <row r="6" spans="1:39" ht="15.75" thickTop="1" thickBot="1">
      <c r="A6" t="s">
        <v>42</v>
      </c>
      <c r="B6" s="2">
        <f>B3</f>
        <v>2649</v>
      </c>
      <c r="C6" t="s">
        <v>43</v>
      </c>
      <c r="D6" s="167">
        <f>D3</f>
        <v>2416.2959353229344</v>
      </c>
      <c r="F6" s="161">
        <v>5</v>
      </c>
      <c r="G6" s="161" t="s">
        <v>40</v>
      </c>
      <c r="H6" s="161" t="s">
        <v>44</v>
      </c>
      <c r="I6" s="162">
        <v>22000</v>
      </c>
      <c r="J6" s="7"/>
      <c r="K6" s="169">
        <f t="shared" si="22"/>
        <v>22660</v>
      </c>
      <c r="L6" s="169">
        <f t="shared" si="1"/>
        <v>23339.8</v>
      </c>
      <c r="M6" s="169">
        <f t="shared" si="1"/>
        <v>24039.993999999999</v>
      </c>
      <c r="N6" s="169">
        <f t="shared" si="1"/>
        <v>24761.19382</v>
      </c>
      <c r="P6" s="172">
        <f t="shared" si="23"/>
        <v>750</v>
      </c>
      <c r="Q6" s="172">
        <f t="shared" si="24"/>
        <v>55</v>
      </c>
      <c r="R6" s="172">
        <f t="shared" si="25"/>
        <v>40</v>
      </c>
      <c r="S6" s="172">
        <f t="shared" si="4"/>
        <v>845</v>
      </c>
      <c r="U6" s="172">
        <f t="shared" si="5"/>
        <v>750</v>
      </c>
      <c r="V6" s="172">
        <f t="shared" si="6"/>
        <v>56.65</v>
      </c>
      <c r="W6" s="172">
        <f t="shared" si="7"/>
        <v>40</v>
      </c>
      <c r="X6" s="172">
        <f t="shared" si="8"/>
        <v>846.65</v>
      </c>
      <c r="Z6" s="172">
        <f t="shared" si="9"/>
        <v>750</v>
      </c>
      <c r="AA6" s="172">
        <f t="shared" si="10"/>
        <v>58.349499999999999</v>
      </c>
      <c r="AB6" s="172">
        <f t="shared" si="11"/>
        <v>50</v>
      </c>
      <c r="AC6" s="172">
        <f t="shared" si="12"/>
        <v>858.34950000000003</v>
      </c>
      <c r="AE6" s="172">
        <f t="shared" si="13"/>
        <v>750</v>
      </c>
      <c r="AF6" s="172">
        <f t="shared" si="14"/>
        <v>60.099984999999997</v>
      </c>
      <c r="AG6" s="172">
        <f t="shared" si="15"/>
        <v>50</v>
      </c>
      <c r="AH6" s="172">
        <f t="shared" si="16"/>
        <v>860.09998499999995</v>
      </c>
      <c r="AJ6" s="172">
        <f t="shared" si="17"/>
        <v>750</v>
      </c>
      <c r="AK6" s="172">
        <f t="shared" si="18"/>
        <v>61.902984549999999</v>
      </c>
      <c r="AL6" s="172">
        <f t="shared" si="19"/>
        <v>50</v>
      </c>
      <c r="AM6" s="172">
        <f t="shared" si="20"/>
        <v>861.90298455000004</v>
      </c>
    </row>
    <row r="7" spans="1:39" ht="15.75" thickTop="1" thickBot="1">
      <c r="A7" t="s">
        <v>45</v>
      </c>
      <c r="B7" s="2">
        <f>B4*B6</f>
        <v>1549665</v>
      </c>
      <c r="C7" t="s">
        <v>46</v>
      </c>
      <c r="D7" s="8"/>
      <c r="F7" s="161">
        <v>6</v>
      </c>
      <c r="G7" s="161" t="s">
        <v>40</v>
      </c>
      <c r="H7" s="161" t="s">
        <v>47</v>
      </c>
      <c r="I7" s="162">
        <v>22000</v>
      </c>
      <c r="J7" s="158"/>
      <c r="K7" s="169">
        <f t="shared" si="22"/>
        <v>22660</v>
      </c>
      <c r="L7" s="169">
        <f t="shared" si="1"/>
        <v>23339.8</v>
      </c>
      <c r="M7" s="169">
        <f t="shared" si="1"/>
        <v>24039.993999999999</v>
      </c>
      <c r="N7" s="169">
        <f t="shared" si="1"/>
        <v>24761.19382</v>
      </c>
      <c r="P7" s="172">
        <f t="shared" si="23"/>
        <v>750</v>
      </c>
      <c r="Q7" s="172">
        <f t="shared" si="24"/>
        <v>55</v>
      </c>
      <c r="R7" s="172">
        <f t="shared" si="25"/>
        <v>40</v>
      </c>
      <c r="S7" s="172">
        <f t="shared" si="4"/>
        <v>845</v>
      </c>
      <c r="U7" s="172">
        <f t="shared" si="5"/>
        <v>750</v>
      </c>
      <c r="V7" s="172">
        <f t="shared" si="6"/>
        <v>56.65</v>
      </c>
      <c r="W7" s="172">
        <f t="shared" si="7"/>
        <v>40</v>
      </c>
      <c r="X7" s="172">
        <f t="shared" si="8"/>
        <v>846.65</v>
      </c>
      <c r="Z7" s="172">
        <f t="shared" si="9"/>
        <v>750</v>
      </c>
      <c r="AA7" s="172">
        <f t="shared" si="10"/>
        <v>58.349499999999999</v>
      </c>
      <c r="AB7" s="172">
        <f t="shared" si="11"/>
        <v>50</v>
      </c>
      <c r="AC7" s="172">
        <f t="shared" si="12"/>
        <v>858.34950000000003</v>
      </c>
      <c r="AE7" s="172">
        <f t="shared" si="13"/>
        <v>750</v>
      </c>
      <c r="AF7" s="172">
        <f t="shared" si="14"/>
        <v>60.099984999999997</v>
      </c>
      <c r="AG7" s="172">
        <f t="shared" si="15"/>
        <v>50</v>
      </c>
      <c r="AH7" s="172">
        <f t="shared" si="16"/>
        <v>860.09998499999995</v>
      </c>
      <c r="AJ7" s="172">
        <f t="shared" si="17"/>
        <v>750</v>
      </c>
      <c r="AK7" s="172">
        <f t="shared" si="18"/>
        <v>61.902984549999999</v>
      </c>
      <c r="AL7" s="172">
        <f t="shared" si="19"/>
        <v>50</v>
      </c>
      <c r="AM7" s="172">
        <f t="shared" si="20"/>
        <v>861.90298455000004</v>
      </c>
    </row>
    <row r="8" spans="1:39" ht="15.75" thickTop="1" thickBot="1">
      <c r="A8" t="s">
        <v>48</v>
      </c>
      <c r="B8" s="2">
        <f>'costv.1.1'!E76</f>
        <v>3322584.6</v>
      </c>
      <c r="C8" t="s">
        <v>49</v>
      </c>
      <c r="F8" s="161">
        <v>7</v>
      </c>
      <c r="G8" s="161" t="s">
        <v>40</v>
      </c>
      <c r="H8" s="161" t="s">
        <v>50</v>
      </c>
      <c r="I8" s="162">
        <v>22000</v>
      </c>
      <c r="K8" s="169">
        <f t="shared" si="22"/>
        <v>22660</v>
      </c>
      <c r="L8" s="169">
        <f t="shared" si="1"/>
        <v>23339.8</v>
      </c>
      <c r="M8" s="169">
        <f t="shared" si="1"/>
        <v>24039.993999999999</v>
      </c>
      <c r="N8" s="169">
        <f t="shared" si="1"/>
        <v>24761.19382</v>
      </c>
      <c r="P8" s="172">
        <f t="shared" si="23"/>
        <v>750</v>
      </c>
      <c r="Q8" s="172">
        <f t="shared" si="24"/>
        <v>55</v>
      </c>
      <c r="R8" s="172">
        <f t="shared" si="25"/>
        <v>40</v>
      </c>
      <c r="S8" s="172">
        <f t="shared" si="4"/>
        <v>845</v>
      </c>
      <c r="U8" s="172">
        <f t="shared" si="5"/>
        <v>750</v>
      </c>
      <c r="V8" s="172">
        <f t="shared" si="6"/>
        <v>56.65</v>
      </c>
      <c r="W8" s="172">
        <f t="shared" si="7"/>
        <v>40</v>
      </c>
      <c r="X8" s="172">
        <f t="shared" si="8"/>
        <v>846.65</v>
      </c>
      <c r="Z8" s="172">
        <f t="shared" si="9"/>
        <v>750</v>
      </c>
      <c r="AA8" s="172">
        <f t="shared" si="10"/>
        <v>58.349499999999999</v>
      </c>
      <c r="AB8" s="172">
        <f t="shared" si="11"/>
        <v>50</v>
      </c>
      <c r="AC8" s="172">
        <f t="shared" si="12"/>
        <v>858.34950000000003</v>
      </c>
      <c r="AE8" s="172">
        <f t="shared" si="13"/>
        <v>750</v>
      </c>
      <c r="AF8" s="172">
        <f t="shared" si="14"/>
        <v>60.099984999999997</v>
      </c>
      <c r="AG8" s="172">
        <f t="shared" si="15"/>
        <v>50</v>
      </c>
      <c r="AH8" s="172">
        <f t="shared" si="16"/>
        <v>860.09998499999995</v>
      </c>
      <c r="AJ8" s="172">
        <f t="shared" si="17"/>
        <v>750</v>
      </c>
      <c r="AK8" s="172">
        <f t="shared" si="18"/>
        <v>61.902984549999999</v>
      </c>
      <c r="AL8" s="172">
        <f t="shared" si="19"/>
        <v>50</v>
      </c>
      <c r="AM8" s="172">
        <f t="shared" si="20"/>
        <v>861.90298455000004</v>
      </c>
    </row>
    <row r="9" spans="1:39" ht="15.75" thickTop="1" thickBot="1">
      <c r="A9" t="s">
        <v>51</v>
      </c>
      <c r="B9" s="2">
        <f>'costv.1.1'!E75</f>
        <v>732000</v>
      </c>
      <c r="C9" t="s">
        <v>52</v>
      </c>
      <c r="F9" s="161">
        <v>8</v>
      </c>
      <c r="G9" s="161" t="s">
        <v>40</v>
      </c>
      <c r="H9" s="161" t="s">
        <v>53</v>
      </c>
      <c r="I9" s="162">
        <v>22000</v>
      </c>
      <c r="J9" s="8"/>
      <c r="K9" s="169">
        <f t="shared" si="22"/>
        <v>22660</v>
      </c>
      <c r="L9" s="169">
        <f t="shared" si="1"/>
        <v>23339.8</v>
      </c>
      <c r="M9" s="169">
        <f t="shared" si="1"/>
        <v>24039.993999999999</v>
      </c>
      <c r="N9" s="169">
        <f t="shared" si="1"/>
        <v>24761.19382</v>
      </c>
      <c r="P9" s="172">
        <f t="shared" si="23"/>
        <v>750</v>
      </c>
      <c r="Q9" s="172">
        <f t="shared" si="24"/>
        <v>55</v>
      </c>
      <c r="R9" s="172">
        <f t="shared" si="25"/>
        <v>40</v>
      </c>
      <c r="S9" s="172">
        <f t="shared" si="4"/>
        <v>845</v>
      </c>
      <c r="U9" s="172">
        <f t="shared" si="5"/>
        <v>750</v>
      </c>
      <c r="V9" s="172">
        <f t="shared" si="6"/>
        <v>56.65</v>
      </c>
      <c r="W9" s="172">
        <f t="shared" si="7"/>
        <v>40</v>
      </c>
      <c r="X9" s="172">
        <f t="shared" si="8"/>
        <v>846.65</v>
      </c>
      <c r="Z9" s="172">
        <f t="shared" si="9"/>
        <v>750</v>
      </c>
      <c r="AA9" s="172">
        <f t="shared" si="10"/>
        <v>58.349499999999999</v>
      </c>
      <c r="AB9" s="172">
        <f t="shared" si="11"/>
        <v>50</v>
      </c>
      <c r="AC9" s="172">
        <f t="shared" si="12"/>
        <v>858.34950000000003</v>
      </c>
      <c r="AE9" s="172">
        <f t="shared" si="13"/>
        <v>750</v>
      </c>
      <c r="AF9" s="172">
        <f t="shared" si="14"/>
        <v>60.099984999999997</v>
      </c>
      <c r="AG9" s="172">
        <f t="shared" si="15"/>
        <v>50</v>
      </c>
      <c r="AH9" s="172">
        <f t="shared" si="16"/>
        <v>860.09998499999995</v>
      </c>
      <c r="AJ9" s="172">
        <f t="shared" si="17"/>
        <v>750</v>
      </c>
      <c r="AK9" s="172">
        <f t="shared" si="18"/>
        <v>61.902984549999999</v>
      </c>
      <c r="AL9" s="172">
        <f t="shared" si="19"/>
        <v>50</v>
      </c>
      <c r="AM9" s="172">
        <f t="shared" si="20"/>
        <v>861.90298455000004</v>
      </c>
    </row>
    <row r="10" spans="1:39" ht="15.75" thickTop="1" thickBot="1">
      <c r="A10" t="s">
        <v>54</v>
      </c>
      <c r="B10" s="2">
        <f>'costv.1.1'!C80</f>
        <v>4054584.6</v>
      </c>
      <c r="C10" t="s">
        <v>55</v>
      </c>
      <c r="F10" s="161">
        <v>9</v>
      </c>
      <c r="G10" s="161" t="s">
        <v>40</v>
      </c>
      <c r="H10" s="161" t="s">
        <v>56</v>
      </c>
      <c r="I10" s="162">
        <v>20000</v>
      </c>
      <c r="J10" s="8"/>
      <c r="K10" s="169">
        <f t="shared" si="22"/>
        <v>20600</v>
      </c>
      <c r="L10" s="169">
        <f t="shared" si="1"/>
        <v>21218</v>
      </c>
      <c r="M10" s="169">
        <f t="shared" si="1"/>
        <v>21854.54</v>
      </c>
      <c r="N10" s="169">
        <f t="shared" si="1"/>
        <v>22510.176200000002</v>
      </c>
      <c r="P10" s="172">
        <f t="shared" si="23"/>
        <v>750</v>
      </c>
      <c r="Q10" s="172">
        <f t="shared" si="24"/>
        <v>50</v>
      </c>
      <c r="R10" s="172">
        <f t="shared" si="25"/>
        <v>40</v>
      </c>
      <c r="S10" s="172">
        <f t="shared" si="4"/>
        <v>840</v>
      </c>
      <c r="U10" s="172">
        <f t="shared" si="5"/>
        <v>750</v>
      </c>
      <c r="V10" s="172">
        <f t="shared" si="6"/>
        <v>51.5</v>
      </c>
      <c r="W10" s="172">
        <f t="shared" si="7"/>
        <v>40</v>
      </c>
      <c r="X10" s="172">
        <f t="shared" si="8"/>
        <v>841.5</v>
      </c>
      <c r="Z10" s="172">
        <f t="shared" si="9"/>
        <v>750</v>
      </c>
      <c r="AA10" s="172">
        <f t="shared" si="10"/>
        <v>53.045000000000002</v>
      </c>
      <c r="AB10" s="172">
        <f t="shared" si="11"/>
        <v>50</v>
      </c>
      <c r="AC10" s="172">
        <f t="shared" si="12"/>
        <v>853.04499999999996</v>
      </c>
      <c r="AE10" s="172">
        <f t="shared" si="13"/>
        <v>750</v>
      </c>
      <c r="AF10" s="172">
        <f t="shared" si="14"/>
        <v>54.63635</v>
      </c>
      <c r="AG10" s="172">
        <f t="shared" si="15"/>
        <v>50</v>
      </c>
      <c r="AH10" s="172">
        <f t="shared" si="16"/>
        <v>854.63634999999999</v>
      </c>
      <c r="AJ10" s="172">
        <f t="shared" si="17"/>
        <v>750</v>
      </c>
      <c r="AK10" s="172">
        <f t="shared" si="18"/>
        <v>56.275440500000002</v>
      </c>
      <c r="AL10" s="172">
        <f t="shared" si="19"/>
        <v>50</v>
      </c>
      <c r="AM10" s="172">
        <f t="shared" si="20"/>
        <v>856.27544050000006</v>
      </c>
    </row>
    <row r="11" spans="1:39" ht="15.75" thickTop="1" thickBot="1">
      <c r="F11" s="161">
        <v>10</v>
      </c>
      <c r="G11" s="161" t="s">
        <v>40</v>
      </c>
      <c r="H11" s="161" t="s">
        <v>57</v>
      </c>
      <c r="I11" s="162">
        <v>20000</v>
      </c>
      <c r="K11" s="169">
        <f t="shared" si="22"/>
        <v>20600</v>
      </c>
      <c r="L11" s="169">
        <f t="shared" si="1"/>
        <v>21218</v>
      </c>
      <c r="M11" s="169">
        <f t="shared" si="1"/>
        <v>21854.54</v>
      </c>
      <c r="N11" s="169">
        <f t="shared" si="1"/>
        <v>22510.176200000002</v>
      </c>
      <c r="P11" s="172">
        <f t="shared" si="23"/>
        <v>750</v>
      </c>
      <c r="Q11" s="172">
        <f t="shared" si="24"/>
        <v>50</v>
      </c>
      <c r="R11" s="172">
        <f t="shared" si="25"/>
        <v>40</v>
      </c>
      <c r="S11" s="172">
        <f t="shared" si="4"/>
        <v>840</v>
      </c>
      <c r="U11" s="172">
        <f t="shared" si="5"/>
        <v>750</v>
      </c>
      <c r="V11" s="172">
        <f t="shared" si="6"/>
        <v>51.5</v>
      </c>
      <c r="W11" s="172">
        <f t="shared" si="7"/>
        <v>40</v>
      </c>
      <c r="X11" s="172">
        <f t="shared" si="8"/>
        <v>841.5</v>
      </c>
      <c r="Z11" s="172">
        <f t="shared" si="9"/>
        <v>750</v>
      </c>
      <c r="AA11" s="172">
        <f t="shared" si="10"/>
        <v>53.045000000000002</v>
      </c>
      <c r="AB11" s="172">
        <f t="shared" si="11"/>
        <v>50</v>
      </c>
      <c r="AC11" s="172">
        <f t="shared" si="12"/>
        <v>853.04499999999996</v>
      </c>
      <c r="AE11" s="172">
        <f t="shared" si="13"/>
        <v>750</v>
      </c>
      <c r="AF11" s="172">
        <f t="shared" si="14"/>
        <v>54.63635</v>
      </c>
      <c r="AG11" s="172">
        <f t="shared" si="15"/>
        <v>50</v>
      </c>
      <c r="AH11" s="172">
        <f t="shared" si="16"/>
        <v>854.63634999999999</v>
      </c>
      <c r="AJ11" s="172">
        <f t="shared" si="17"/>
        <v>750</v>
      </c>
      <c r="AK11" s="172">
        <f t="shared" si="18"/>
        <v>56.275440500000002</v>
      </c>
      <c r="AL11" s="172">
        <f t="shared" si="19"/>
        <v>50</v>
      </c>
      <c r="AM11" s="172">
        <f t="shared" si="20"/>
        <v>856.27544050000006</v>
      </c>
    </row>
    <row r="12" spans="1:39" ht="15.75" thickTop="1" thickBot="1">
      <c r="A12" t="s">
        <v>58</v>
      </c>
      <c r="C12" s="8"/>
      <c r="F12" s="161">
        <v>11</v>
      </c>
      <c r="G12" s="161" t="s">
        <v>59</v>
      </c>
      <c r="H12" s="161" t="s">
        <v>60</v>
      </c>
      <c r="I12" s="162">
        <v>45000</v>
      </c>
      <c r="J12" s="8"/>
      <c r="K12" s="169">
        <f t="shared" si="22"/>
        <v>46350</v>
      </c>
      <c r="L12" s="169">
        <f t="shared" si="1"/>
        <v>47740.5</v>
      </c>
      <c r="M12" s="169">
        <f t="shared" si="1"/>
        <v>49172.715000000004</v>
      </c>
      <c r="N12" s="169">
        <f t="shared" si="1"/>
        <v>50647.896450000007</v>
      </c>
      <c r="P12" s="172">
        <f t="shared" si="23"/>
        <v>750</v>
      </c>
      <c r="Q12" s="172">
        <f t="shared" si="24"/>
        <v>112.5</v>
      </c>
      <c r="R12" s="172">
        <f t="shared" si="25"/>
        <v>40</v>
      </c>
      <c r="S12" s="172">
        <f t="shared" si="4"/>
        <v>902.5</v>
      </c>
      <c r="U12" s="172">
        <f t="shared" si="5"/>
        <v>750</v>
      </c>
      <c r="V12" s="172">
        <f t="shared" si="6"/>
        <v>115.875</v>
      </c>
      <c r="W12" s="172">
        <f t="shared" si="7"/>
        <v>40</v>
      </c>
      <c r="X12" s="172">
        <f t="shared" si="8"/>
        <v>905.875</v>
      </c>
      <c r="Z12" s="172">
        <f t="shared" si="9"/>
        <v>750</v>
      </c>
      <c r="AA12" s="172">
        <f t="shared" si="10"/>
        <v>119.35125000000001</v>
      </c>
      <c r="AB12" s="172">
        <f t="shared" si="11"/>
        <v>50</v>
      </c>
      <c r="AC12" s="172">
        <f t="shared" si="12"/>
        <v>919.35125000000005</v>
      </c>
      <c r="AE12" s="172">
        <f t="shared" si="13"/>
        <v>750</v>
      </c>
      <c r="AF12" s="172">
        <f t="shared" si="14"/>
        <v>122.93178750000001</v>
      </c>
      <c r="AG12" s="172">
        <f t="shared" si="15"/>
        <v>50</v>
      </c>
      <c r="AH12" s="172">
        <f t="shared" si="16"/>
        <v>922.93178750000004</v>
      </c>
      <c r="AJ12" s="172">
        <f t="shared" si="17"/>
        <v>750</v>
      </c>
      <c r="AK12" s="172">
        <f t="shared" si="18"/>
        <v>126.61974112500002</v>
      </c>
      <c r="AL12" s="172">
        <f t="shared" si="19"/>
        <v>50</v>
      </c>
      <c r="AM12" s="172">
        <f t="shared" si="20"/>
        <v>926.61974112500002</v>
      </c>
    </row>
    <row r="13" spans="1:39" ht="15.75" thickTop="1" thickBot="1">
      <c r="A13">
        <v>1</v>
      </c>
      <c r="B13" s="170">
        <f>S43</f>
        <v>10555</v>
      </c>
      <c r="C13" s="228"/>
      <c r="F13" s="161">
        <v>12</v>
      </c>
      <c r="G13" s="161" t="s">
        <v>61</v>
      </c>
      <c r="H13" s="161" t="s">
        <v>62</v>
      </c>
      <c r="I13" s="162">
        <v>22000</v>
      </c>
      <c r="J13" s="7"/>
      <c r="K13" s="169">
        <f t="shared" si="22"/>
        <v>22660</v>
      </c>
      <c r="L13" s="169">
        <f t="shared" si="1"/>
        <v>23339.8</v>
      </c>
      <c r="M13" s="169">
        <f t="shared" si="1"/>
        <v>24039.993999999999</v>
      </c>
      <c r="N13" s="169">
        <f t="shared" si="1"/>
        <v>24761.19382</v>
      </c>
      <c r="O13" s="158"/>
      <c r="P13" s="172">
        <f t="shared" si="23"/>
        <v>750</v>
      </c>
      <c r="Q13" s="172">
        <f t="shared" si="24"/>
        <v>55</v>
      </c>
      <c r="R13" s="172">
        <f t="shared" si="25"/>
        <v>40</v>
      </c>
      <c r="S13" s="172">
        <f t="shared" si="4"/>
        <v>845</v>
      </c>
      <c r="U13" s="172">
        <f t="shared" si="5"/>
        <v>750</v>
      </c>
      <c r="V13" s="172">
        <f t="shared" si="6"/>
        <v>56.65</v>
      </c>
      <c r="W13" s="172">
        <f t="shared" si="7"/>
        <v>40</v>
      </c>
      <c r="X13" s="172">
        <f t="shared" si="8"/>
        <v>846.65</v>
      </c>
      <c r="Z13" s="172">
        <f t="shared" si="9"/>
        <v>750</v>
      </c>
      <c r="AA13" s="172">
        <f t="shared" si="10"/>
        <v>58.349499999999999</v>
      </c>
      <c r="AB13" s="172">
        <f t="shared" si="11"/>
        <v>50</v>
      </c>
      <c r="AC13" s="172">
        <f t="shared" si="12"/>
        <v>858.34950000000003</v>
      </c>
      <c r="AE13" s="172">
        <f t="shared" si="13"/>
        <v>750</v>
      </c>
      <c r="AF13" s="172">
        <f t="shared" si="14"/>
        <v>60.099984999999997</v>
      </c>
      <c r="AG13" s="172">
        <f t="shared" si="15"/>
        <v>50</v>
      </c>
      <c r="AH13" s="172">
        <f t="shared" si="16"/>
        <v>860.09998499999995</v>
      </c>
      <c r="AJ13" s="172">
        <f t="shared" si="17"/>
        <v>750</v>
      </c>
      <c r="AK13" s="172">
        <f t="shared" si="18"/>
        <v>61.902984549999999</v>
      </c>
      <c r="AL13" s="172">
        <f t="shared" si="19"/>
        <v>50</v>
      </c>
      <c r="AM13" s="172">
        <f t="shared" si="20"/>
        <v>861.90298455000004</v>
      </c>
    </row>
    <row r="14" spans="1:39" ht="15.75" thickTop="1" thickBot="1">
      <c r="A14">
        <v>2</v>
      </c>
      <c r="B14" s="170">
        <f>X43</f>
        <v>10587.249999999998</v>
      </c>
      <c r="C14" s="228"/>
      <c r="F14" s="185"/>
      <c r="G14" s="185"/>
      <c r="H14" s="185"/>
      <c r="I14" s="186"/>
      <c r="J14" s="8"/>
      <c r="K14" s="169">
        <f t="shared" si="0"/>
        <v>0</v>
      </c>
      <c r="L14" s="169">
        <f t="shared" si="1"/>
        <v>0</v>
      </c>
      <c r="M14" s="169">
        <f t="shared" si="1"/>
        <v>0</v>
      </c>
      <c r="N14" s="169">
        <f t="shared" si="1"/>
        <v>0</v>
      </c>
      <c r="O14" s="158"/>
      <c r="P14" s="172">
        <f t="shared" si="2"/>
        <v>0</v>
      </c>
      <c r="Q14" s="172">
        <f t="shared" si="21"/>
        <v>0</v>
      </c>
      <c r="R14" s="172">
        <f t="shared" si="3"/>
        <v>0</v>
      </c>
      <c r="S14" s="172">
        <f t="shared" si="4"/>
        <v>0</v>
      </c>
      <c r="U14" s="172">
        <f t="shared" si="5"/>
        <v>0</v>
      </c>
      <c r="V14" s="172">
        <f t="shared" si="6"/>
        <v>0</v>
      </c>
      <c r="W14" s="172">
        <f t="shared" si="7"/>
        <v>0</v>
      </c>
      <c r="X14" s="172">
        <f t="shared" si="8"/>
        <v>0</v>
      </c>
      <c r="Z14" s="172">
        <f t="shared" si="9"/>
        <v>0</v>
      </c>
      <c r="AA14" s="172">
        <f t="shared" si="10"/>
        <v>0</v>
      </c>
      <c r="AB14" s="172">
        <f t="shared" si="11"/>
        <v>0</v>
      </c>
      <c r="AC14" s="172">
        <f t="shared" si="12"/>
        <v>0</v>
      </c>
      <c r="AE14" s="172">
        <f t="shared" si="13"/>
        <v>0</v>
      </c>
      <c r="AF14" s="172">
        <f t="shared" si="14"/>
        <v>0</v>
      </c>
      <c r="AG14" s="172">
        <f t="shared" si="15"/>
        <v>0</v>
      </c>
      <c r="AH14" s="172">
        <f t="shared" si="16"/>
        <v>0</v>
      </c>
      <c r="AJ14" s="172">
        <f t="shared" si="17"/>
        <v>0</v>
      </c>
      <c r="AK14" s="172">
        <f t="shared" si="18"/>
        <v>0</v>
      </c>
      <c r="AL14" s="172">
        <f t="shared" si="19"/>
        <v>0</v>
      </c>
      <c r="AM14" s="172">
        <f t="shared" si="20"/>
        <v>0</v>
      </c>
    </row>
    <row r="15" spans="1:39" ht="15.75" thickTop="1" thickBot="1">
      <c r="A15">
        <v>3</v>
      </c>
      <c r="B15" s="170">
        <f>AC43</f>
        <v>10740.467500000001</v>
      </c>
      <c r="C15" s="228"/>
      <c r="F15" s="185"/>
      <c r="G15" s="185"/>
      <c r="H15" s="185"/>
      <c r="I15" s="186"/>
      <c r="J15" s="8"/>
      <c r="K15" s="169">
        <f t="shared" ref="K15:K23" si="26">I15*$K$1</f>
        <v>0</v>
      </c>
      <c r="L15" s="169">
        <f t="shared" si="1"/>
        <v>0</v>
      </c>
      <c r="M15" s="169">
        <f t="shared" si="1"/>
        <v>0</v>
      </c>
      <c r="N15" s="169">
        <f t="shared" si="1"/>
        <v>0</v>
      </c>
      <c r="O15" s="158"/>
      <c r="P15" s="172">
        <f t="shared" ref="P15:P23" si="27">MIN(I15*$P$44,750)</f>
        <v>0</v>
      </c>
      <c r="Q15" s="172">
        <f t="shared" ref="Q15:Q23" si="28">I15*$Q$44</f>
        <v>0</v>
      </c>
      <c r="R15" s="172">
        <f t="shared" ref="R15:R23" si="29">($R$44*MIN(I15,20000))*IF(I15&gt;0,1,0)</f>
        <v>0</v>
      </c>
      <c r="S15" s="172">
        <f t="shared" si="4"/>
        <v>0</v>
      </c>
      <c r="U15" s="172">
        <f t="shared" si="5"/>
        <v>0</v>
      </c>
      <c r="V15" s="172">
        <f t="shared" si="6"/>
        <v>0</v>
      </c>
      <c r="W15" s="172">
        <f t="shared" si="7"/>
        <v>0</v>
      </c>
      <c r="X15" s="172">
        <f t="shared" si="8"/>
        <v>0</v>
      </c>
      <c r="Z15" s="172">
        <f t="shared" si="9"/>
        <v>0</v>
      </c>
      <c r="AA15" s="172">
        <f t="shared" si="10"/>
        <v>0</v>
      </c>
      <c r="AB15" s="172">
        <f t="shared" si="11"/>
        <v>0</v>
      </c>
      <c r="AC15" s="172">
        <f t="shared" si="12"/>
        <v>0</v>
      </c>
      <c r="AE15" s="172">
        <f t="shared" si="13"/>
        <v>0</v>
      </c>
      <c r="AF15" s="172">
        <f t="shared" si="14"/>
        <v>0</v>
      </c>
      <c r="AG15" s="172">
        <f t="shared" si="15"/>
        <v>0</v>
      </c>
      <c r="AH15" s="172">
        <f t="shared" si="16"/>
        <v>0</v>
      </c>
      <c r="AJ15" s="172">
        <f t="shared" si="17"/>
        <v>0</v>
      </c>
      <c r="AK15" s="172">
        <f t="shared" si="18"/>
        <v>0</v>
      </c>
      <c r="AL15" s="172">
        <f t="shared" si="19"/>
        <v>0</v>
      </c>
      <c r="AM15" s="172">
        <f t="shared" si="20"/>
        <v>0</v>
      </c>
    </row>
    <row r="16" spans="1:39" ht="15.75" thickTop="1" thickBot="1">
      <c r="A16">
        <v>4</v>
      </c>
      <c r="B16" s="170">
        <f>AH43</f>
        <v>10774.681525</v>
      </c>
      <c r="C16" s="228"/>
      <c r="E16" s="7"/>
      <c r="F16" s="185"/>
      <c r="G16" s="185"/>
      <c r="H16" s="185"/>
      <c r="I16" s="186"/>
      <c r="K16" s="169">
        <f t="shared" si="26"/>
        <v>0</v>
      </c>
      <c r="L16" s="169">
        <f t="shared" si="1"/>
        <v>0</v>
      </c>
      <c r="M16" s="169">
        <f t="shared" si="1"/>
        <v>0</v>
      </c>
      <c r="N16" s="169">
        <f t="shared" si="1"/>
        <v>0</v>
      </c>
      <c r="P16" s="172">
        <f t="shared" si="27"/>
        <v>0</v>
      </c>
      <c r="Q16" s="172">
        <f t="shared" si="28"/>
        <v>0</v>
      </c>
      <c r="R16" s="172">
        <f t="shared" si="29"/>
        <v>0</v>
      </c>
      <c r="S16" s="172">
        <f t="shared" si="4"/>
        <v>0</v>
      </c>
      <c r="U16" s="172">
        <f t="shared" si="5"/>
        <v>0</v>
      </c>
      <c r="V16" s="172">
        <f t="shared" si="6"/>
        <v>0</v>
      </c>
      <c r="W16" s="172">
        <f t="shared" si="7"/>
        <v>0</v>
      </c>
      <c r="X16" s="172">
        <f t="shared" si="8"/>
        <v>0</v>
      </c>
      <c r="Z16" s="172">
        <f t="shared" si="9"/>
        <v>0</v>
      </c>
      <c r="AA16" s="172">
        <f t="shared" si="10"/>
        <v>0</v>
      </c>
      <c r="AB16" s="172">
        <f t="shared" si="11"/>
        <v>0</v>
      </c>
      <c r="AC16" s="172">
        <f t="shared" si="12"/>
        <v>0</v>
      </c>
      <c r="AE16" s="172">
        <f t="shared" si="13"/>
        <v>0</v>
      </c>
      <c r="AF16" s="172">
        <f t="shared" si="14"/>
        <v>0</v>
      </c>
      <c r="AG16" s="172">
        <f t="shared" si="15"/>
        <v>0</v>
      </c>
      <c r="AH16" s="172">
        <f t="shared" si="16"/>
        <v>0</v>
      </c>
      <c r="AJ16" s="172">
        <f t="shared" si="17"/>
        <v>0</v>
      </c>
      <c r="AK16" s="172">
        <f t="shared" si="18"/>
        <v>0</v>
      </c>
      <c r="AL16" s="172">
        <f t="shared" si="19"/>
        <v>0</v>
      </c>
      <c r="AM16" s="172">
        <f t="shared" si="20"/>
        <v>0</v>
      </c>
    </row>
    <row r="17" spans="1:39" ht="15.75" thickTop="1" thickBot="1">
      <c r="A17">
        <v>5</v>
      </c>
      <c r="B17" s="170">
        <f>AM43</f>
        <v>10809.92197075</v>
      </c>
      <c r="C17" s="228"/>
      <c r="F17" s="185"/>
      <c r="G17" s="185"/>
      <c r="H17" s="185"/>
      <c r="I17" s="186"/>
      <c r="K17" s="169">
        <f t="shared" si="26"/>
        <v>0</v>
      </c>
      <c r="L17" s="169">
        <f t="shared" si="1"/>
        <v>0</v>
      </c>
      <c r="M17" s="169">
        <f t="shared" si="1"/>
        <v>0</v>
      </c>
      <c r="N17" s="169">
        <f t="shared" si="1"/>
        <v>0</v>
      </c>
      <c r="P17" s="172">
        <f t="shared" si="27"/>
        <v>0</v>
      </c>
      <c r="Q17" s="172">
        <f t="shared" si="28"/>
        <v>0</v>
      </c>
      <c r="R17" s="172">
        <f t="shared" si="29"/>
        <v>0</v>
      </c>
      <c r="S17" s="172">
        <f t="shared" si="4"/>
        <v>0</v>
      </c>
      <c r="U17" s="172">
        <f t="shared" si="5"/>
        <v>0</v>
      </c>
      <c r="V17" s="172">
        <f t="shared" si="6"/>
        <v>0</v>
      </c>
      <c r="W17" s="172">
        <f t="shared" si="7"/>
        <v>0</v>
      </c>
      <c r="X17" s="172">
        <f t="shared" si="8"/>
        <v>0</v>
      </c>
      <c r="Z17" s="172">
        <f t="shared" si="9"/>
        <v>0</v>
      </c>
      <c r="AA17" s="172">
        <f t="shared" si="10"/>
        <v>0</v>
      </c>
      <c r="AB17" s="172">
        <f t="shared" si="11"/>
        <v>0</v>
      </c>
      <c r="AC17" s="172">
        <f t="shared" si="12"/>
        <v>0</v>
      </c>
      <c r="AE17" s="172">
        <f t="shared" si="13"/>
        <v>0</v>
      </c>
      <c r="AF17" s="172">
        <f t="shared" si="14"/>
        <v>0</v>
      </c>
      <c r="AG17" s="172">
        <f t="shared" si="15"/>
        <v>0</v>
      </c>
      <c r="AH17" s="172">
        <f t="shared" si="16"/>
        <v>0</v>
      </c>
      <c r="AJ17" s="172">
        <f t="shared" si="17"/>
        <v>0</v>
      </c>
      <c r="AK17" s="172">
        <f t="shared" si="18"/>
        <v>0</v>
      </c>
      <c r="AL17" s="172">
        <f t="shared" si="19"/>
        <v>0</v>
      </c>
      <c r="AM17" s="172">
        <f t="shared" si="20"/>
        <v>0</v>
      </c>
    </row>
    <row r="18" spans="1:39" ht="15.75" thickTop="1" thickBot="1">
      <c r="F18" s="185"/>
      <c r="G18" s="185"/>
      <c r="H18" s="185"/>
      <c r="I18" s="186"/>
      <c r="K18" s="169">
        <f t="shared" si="26"/>
        <v>0</v>
      </c>
      <c r="L18" s="169">
        <f t="shared" si="1"/>
        <v>0</v>
      </c>
      <c r="M18" s="169">
        <f t="shared" si="1"/>
        <v>0</v>
      </c>
      <c r="N18" s="169">
        <f t="shared" si="1"/>
        <v>0</v>
      </c>
      <c r="P18" s="172">
        <f t="shared" si="27"/>
        <v>0</v>
      </c>
      <c r="Q18" s="172">
        <f t="shared" si="28"/>
        <v>0</v>
      </c>
      <c r="R18" s="172">
        <f t="shared" si="29"/>
        <v>0</v>
      </c>
      <c r="S18" s="172">
        <f t="shared" si="4"/>
        <v>0</v>
      </c>
      <c r="U18" s="172">
        <f t="shared" si="5"/>
        <v>0</v>
      </c>
      <c r="V18" s="172">
        <f t="shared" si="6"/>
        <v>0</v>
      </c>
      <c r="W18" s="172">
        <f t="shared" si="7"/>
        <v>0</v>
      </c>
      <c r="X18" s="172">
        <f t="shared" si="8"/>
        <v>0</v>
      </c>
      <c r="Z18" s="172">
        <f t="shared" si="9"/>
        <v>0</v>
      </c>
      <c r="AA18" s="172">
        <f t="shared" si="10"/>
        <v>0</v>
      </c>
      <c r="AB18" s="172">
        <f t="shared" si="11"/>
        <v>0</v>
      </c>
      <c r="AC18" s="172">
        <f t="shared" si="12"/>
        <v>0</v>
      </c>
      <c r="AE18" s="172">
        <f t="shared" si="13"/>
        <v>0</v>
      </c>
      <c r="AF18" s="172">
        <f t="shared" si="14"/>
        <v>0</v>
      </c>
      <c r="AG18" s="172">
        <f t="shared" si="15"/>
        <v>0</v>
      </c>
      <c r="AH18" s="172">
        <f t="shared" si="16"/>
        <v>0</v>
      </c>
      <c r="AJ18" s="172">
        <f t="shared" si="17"/>
        <v>0</v>
      </c>
      <c r="AK18" s="172">
        <f t="shared" si="18"/>
        <v>0</v>
      </c>
      <c r="AL18" s="172">
        <f t="shared" si="19"/>
        <v>0</v>
      </c>
      <c r="AM18" s="172">
        <f t="shared" si="20"/>
        <v>0</v>
      </c>
    </row>
    <row r="19" spans="1:39" ht="15.75" thickTop="1" thickBot="1">
      <c r="F19" s="185"/>
      <c r="G19" s="185"/>
      <c r="H19" s="186"/>
      <c r="I19" s="186"/>
      <c r="K19" s="169">
        <f t="shared" si="26"/>
        <v>0</v>
      </c>
      <c r="L19" s="169">
        <f t="shared" si="1"/>
        <v>0</v>
      </c>
      <c r="M19" s="169">
        <f t="shared" si="1"/>
        <v>0</v>
      </c>
      <c r="N19" s="169">
        <f t="shared" si="1"/>
        <v>0</v>
      </c>
      <c r="P19" s="172">
        <f t="shared" si="27"/>
        <v>0</v>
      </c>
      <c r="Q19" s="172">
        <f t="shared" si="28"/>
        <v>0</v>
      </c>
      <c r="R19" s="172">
        <f t="shared" si="29"/>
        <v>0</v>
      </c>
      <c r="S19" s="172">
        <f t="shared" si="4"/>
        <v>0</v>
      </c>
      <c r="U19" s="172">
        <f t="shared" si="5"/>
        <v>0</v>
      </c>
      <c r="V19" s="172">
        <f>K19*$V$44</f>
        <v>0</v>
      </c>
      <c r="W19" s="172">
        <f t="shared" si="7"/>
        <v>0</v>
      </c>
      <c r="X19" s="172">
        <f t="shared" si="8"/>
        <v>0</v>
      </c>
      <c r="Z19" s="172">
        <f t="shared" si="9"/>
        <v>0</v>
      </c>
      <c r="AA19" s="172">
        <f t="shared" si="10"/>
        <v>0</v>
      </c>
      <c r="AB19" s="172">
        <f t="shared" si="11"/>
        <v>0</v>
      </c>
      <c r="AC19" s="172">
        <f t="shared" si="12"/>
        <v>0</v>
      </c>
      <c r="AE19" s="172">
        <f t="shared" si="13"/>
        <v>0</v>
      </c>
      <c r="AF19" s="172">
        <f t="shared" si="14"/>
        <v>0</v>
      </c>
      <c r="AG19" s="172">
        <f t="shared" si="15"/>
        <v>0</v>
      </c>
      <c r="AH19" s="172">
        <f t="shared" si="16"/>
        <v>0</v>
      </c>
      <c r="AJ19" s="172">
        <f t="shared" si="17"/>
        <v>0</v>
      </c>
      <c r="AK19" s="172">
        <f t="shared" si="18"/>
        <v>0</v>
      </c>
      <c r="AL19" s="172">
        <f t="shared" si="19"/>
        <v>0</v>
      </c>
      <c r="AM19" s="172">
        <f t="shared" si="20"/>
        <v>0</v>
      </c>
    </row>
    <row r="20" spans="1:39" ht="15.75" thickTop="1" thickBot="1">
      <c r="A20" s="156"/>
      <c r="B20" s="157"/>
      <c r="F20" s="185"/>
      <c r="G20" s="185"/>
      <c r="H20" s="185"/>
      <c r="I20" s="186"/>
      <c r="K20" s="169">
        <f t="shared" si="26"/>
        <v>0</v>
      </c>
      <c r="L20" s="169">
        <f t="shared" si="1"/>
        <v>0</v>
      </c>
      <c r="M20" s="169">
        <f t="shared" si="1"/>
        <v>0</v>
      </c>
      <c r="N20" s="169">
        <f t="shared" si="1"/>
        <v>0</v>
      </c>
      <c r="P20" s="172">
        <f t="shared" si="27"/>
        <v>0</v>
      </c>
      <c r="Q20" s="172">
        <f t="shared" si="28"/>
        <v>0</v>
      </c>
      <c r="R20" s="172">
        <f t="shared" si="29"/>
        <v>0</v>
      </c>
      <c r="S20" s="172">
        <f t="shared" si="4"/>
        <v>0</v>
      </c>
      <c r="U20" s="172">
        <f t="shared" si="5"/>
        <v>0</v>
      </c>
      <c r="V20" s="172">
        <f t="shared" si="6"/>
        <v>0</v>
      </c>
      <c r="W20" s="172">
        <f t="shared" si="7"/>
        <v>0</v>
      </c>
      <c r="X20" s="172">
        <f t="shared" si="8"/>
        <v>0</v>
      </c>
      <c r="Z20" s="172">
        <f t="shared" si="9"/>
        <v>0</v>
      </c>
      <c r="AA20" s="172">
        <f t="shared" si="10"/>
        <v>0</v>
      </c>
      <c r="AB20" s="172">
        <f t="shared" si="11"/>
        <v>0</v>
      </c>
      <c r="AC20" s="172">
        <f t="shared" si="12"/>
        <v>0</v>
      </c>
      <c r="AE20" s="172">
        <f t="shared" si="13"/>
        <v>0</v>
      </c>
      <c r="AF20" s="172">
        <f t="shared" si="14"/>
        <v>0</v>
      </c>
      <c r="AG20" s="172">
        <f t="shared" si="15"/>
        <v>0</v>
      </c>
      <c r="AH20" s="172">
        <f t="shared" si="16"/>
        <v>0</v>
      </c>
      <c r="AJ20" s="172">
        <f t="shared" si="17"/>
        <v>0</v>
      </c>
      <c r="AK20" s="172">
        <f t="shared" si="18"/>
        <v>0</v>
      </c>
      <c r="AL20" s="172">
        <f t="shared" si="19"/>
        <v>0</v>
      </c>
      <c r="AM20" s="172">
        <f t="shared" si="20"/>
        <v>0</v>
      </c>
    </row>
    <row r="21" spans="1:39" ht="15.75" thickTop="1" thickBot="1">
      <c r="A21" t="s">
        <v>63</v>
      </c>
      <c r="B21" s="9">
        <f>B23-B4</f>
        <v>433.69158878504663</v>
      </c>
      <c r="F21" s="185"/>
      <c r="G21" s="185"/>
      <c r="H21" s="185"/>
      <c r="I21" s="186"/>
      <c r="K21" s="169">
        <f t="shared" si="26"/>
        <v>0</v>
      </c>
      <c r="L21" s="169">
        <f t="shared" si="1"/>
        <v>0</v>
      </c>
      <c r="M21" s="169">
        <f t="shared" si="1"/>
        <v>0</v>
      </c>
      <c r="N21" s="169">
        <f t="shared" si="1"/>
        <v>0</v>
      </c>
      <c r="P21" s="172">
        <f t="shared" si="27"/>
        <v>0</v>
      </c>
      <c r="Q21" s="172">
        <f t="shared" si="28"/>
        <v>0</v>
      </c>
      <c r="R21" s="172">
        <f t="shared" si="29"/>
        <v>0</v>
      </c>
      <c r="S21" s="172">
        <f t="shared" si="4"/>
        <v>0</v>
      </c>
      <c r="U21" s="172">
        <f t="shared" si="5"/>
        <v>0</v>
      </c>
      <c r="V21" s="172">
        <f t="shared" si="6"/>
        <v>0</v>
      </c>
      <c r="W21" s="172">
        <f t="shared" si="7"/>
        <v>0</v>
      </c>
      <c r="X21" s="172">
        <f t="shared" si="8"/>
        <v>0</v>
      </c>
      <c r="Z21" s="172">
        <f t="shared" si="9"/>
        <v>0</v>
      </c>
      <c r="AA21" s="172">
        <f t="shared" si="10"/>
        <v>0</v>
      </c>
      <c r="AB21" s="172">
        <f t="shared" si="11"/>
        <v>0</v>
      </c>
      <c r="AC21" s="172">
        <f t="shared" si="12"/>
        <v>0</v>
      </c>
      <c r="AE21" s="172">
        <f t="shared" si="13"/>
        <v>0</v>
      </c>
      <c r="AF21" s="172">
        <f t="shared" si="14"/>
        <v>0</v>
      </c>
      <c r="AG21" s="172">
        <f t="shared" si="15"/>
        <v>0</v>
      </c>
      <c r="AH21" s="172">
        <f t="shared" si="16"/>
        <v>0</v>
      </c>
      <c r="AJ21" s="172">
        <f t="shared" si="17"/>
        <v>0</v>
      </c>
      <c r="AK21" s="172">
        <f t="shared" si="18"/>
        <v>0</v>
      </c>
      <c r="AL21" s="172">
        <f t="shared" si="19"/>
        <v>0</v>
      </c>
      <c r="AM21" s="172">
        <f t="shared" si="20"/>
        <v>0</v>
      </c>
    </row>
    <row r="22" spans="1:39" ht="15.75" thickTop="1" thickBot="1">
      <c r="F22" s="185"/>
      <c r="G22" s="185"/>
      <c r="H22" s="185"/>
      <c r="I22" s="186"/>
      <c r="K22" s="169">
        <f t="shared" si="26"/>
        <v>0</v>
      </c>
      <c r="L22" s="169">
        <f t="shared" ref="L22:N41" si="30">K22*$K$1</f>
        <v>0</v>
      </c>
      <c r="M22" s="169">
        <f t="shared" si="30"/>
        <v>0</v>
      </c>
      <c r="N22" s="169">
        <f t="shared" si="30"/>
        <v>0</v>
      </c>
      <c r="P22" s="172">
        <f t="shared" si="27"/>
        <v>0</v>
      </c>
      <c r="Q22" s="172">
        <f t="shared" si="28"/>
        <v>0</v>
      </c>
      <c r="R22" s="172">
        <f t="shared" si="29"/>
        <v>0</v>
      </c>
      <c r="S22" s="172">
        <f t="shared" si="4"/>
        <v>0</v>
      </c>
      <c r="U22" s="172">
        <f t="shared" si="5"/>
        <v>0</v>
      </c>
      <c r="V22" s="172">
        <f t="shared" si="6"/>
        <v>0</v>
      </c>
      <c r="W22" s="172">
        <f t="shared" si="7"/>
        <v>0</v>
      </c>
      <c r="X22" s="172">
        <f t="shared" si="8"/>
        <v>0</v>
      </c>
      <c r="Z22" s="172">
        <f t="shared" si="9"/>
        <v>0</v>
      </c>
      <c r="AA22" s="172">
        <f t="shared" si="10"/>
        <v>0</v>
      </c>
      <c r="AB22" s="172">
        <f t="shared" si="11"/>
        <v>0</v>
      </c>
      <c r="AC22" s="172">
        <f t="shared" si="12"/>
        <v>0</v>
      </c>
      <c r="AE22" s="172">
        <f t="shared" si="13"/>
        <v>0</v>
      </c>
      <c r="AF22" s="172">
        <f t="shared" si="14"/>
        <v>0</v>
      </c>
      <c r="AG22" s="172">
        <f t="shared" si="15"/>
        <v>0</v>
      </c>
      <c r="AH22" s="172">
        <f t="shared" si="16"/>
        <v>0</v>
      </c>
      <c r="AJ22" s="172">
        <f t="shared" si="17"/>
        <v>0</v>
      </c>
      <c r="AK22" s="172">
        <f t="shared" si="18"/>
        <v>0</v>
      </c>
      <c r="AL22" s="172">
        <f t="shared" si="19"/>
        <v>0</v>
      </c>
      <c r="AM22" s="172">
        <f t="shared" si="20"/>
        <v>0</v>
      </c>
    </row>
    <row r="23" spans="1:39" ht="15.75" thickTop="1" thickBot="1">
      <c r="A23" t="s">
        <v>64</v>
      </c>
      <c r="B23" s="6">
        <f>B2/1.07</f>
        <v>1018.6915887850466</v>
      </c>
      <c r="F23" s="185"/>
      <c r="G23" s="185"/>
      <c r="H23" s="185"/>
      <c r="I23" s="186"/>
      <c r="K23" s="169">
        <f t="shared" si="26"/>
        <v>0</v>
      </c>
      <c r="L23" s="169">
        <f t="shared" si="30"/>
        <v>0</v>
      </c>
      <c r="M23" s="169">
        <f t="shared" si="30"/>
        <v>0</v>
      </c>
      <c r="N23" s="169">
        <f t="shared" si="30"/>
        <v>0</v>
      </c>
      <c r="P23" s="172">
        <f t="shared" si="27"/>
        <v>0</v>
      </c>
      <c r="Q23" s="172">
        <f t="shared" si="28"/>
        <v>0</v>
      </c>
      <c r="R23" s="172">
        <f t="shared" si="29"/>
        <v>0</v>
      </c>
      <c r="S23" s="172">
        <f t="shared" si="4"/>
        <v>0</v>
      </c>
      <c r="U23" s="172">
        <f t="shared" si="5"/>
        <v>0</v>
      </c>
      <c r="V23" s="172">
        <f t="shared" si="6"/>
        <v>0</v>
      </c>
      <c r="W23" s="172">
        <f t="shared" si="7"/>
        <v>0</v>
      </c>
      <c r="X23" s="172">
        <f t="shared" si="8"/>
        <v>0</v>
      </c>
      <c r="Z23" s="172">
        <f t="shared" si="9"/>
        <v>0</v>
      </c>
      <c r="AA23" s="172">
        <f t="shared" si="10"/>
        <v>0</v>
      </c>
      <c r="AB23" s="172">
        <f t="shared" si="11"/>
        <v>0</v>
      </c>
      <c r="AC23" s="172">
        <f t="shared" si="12"/>
        <v>0</v>
      </c>
      <c r="AE23" s="172">
        <f t="shared" si="13"/>
        <v>0</v>
      </c>
      <c r="AF23" s="172">
        <f t="shared" si="14"/>
        <v>0</v>
      </c>
      <c r="AG23" s="172">
        <f t="shared" si="15"/>
        <v>0</v>
      </c>
      <c r="AH23" s="172">
        <f t="shared" si="16"/>
        <v>0</v>
      </c>
      <c r="AJ23" s="172">
        <f t="shared" si="17"/>
        <v>0</v>
      </c>
      <c r="AK23" s="172">
        <f t="shared" si="18"/>
        <v>0</v>
      </c>
      <c r="AL23" s="172">
        <f t="shared" si="19"/>
        <v>0</v>
      </c>
      <c r="AM23" s="172">
        <f t="shared" si="20"/>
        <v>0</v>
      </c>
    </row>
    <row r="24" spans="1:39" ht="15.75" thickTop="1" thickBot="1">
      <c r="A24" t="s">
        <v>65</v>
      </c>
      <c r="B24" s="6">
        <f>B2-B23</f>
        <v>71.308411214953367</v>
      </c>
      <c r="I24" s="7"/>
      <c r="K24" s="169">
        <f t="shared" si="0"/>
        <v>0</v>
      </c>
      <c r="L24" s="169">
        <f t="shared" si="30"/>
        <v>0</v>
      </c>
      <c r="M24" s="169">
        <f t="shared" si="30"/>
        <v>0</v>
      </c>
      <c r="N24" s="169">
        <f t="shared" si="30"/>
        <v>0</v>
      </c>
      <c r="P24" s="172">
        <f t="shared" si="2"/>
        <v>0</v>
      </c>
      <c r="Q24" s="172">
        <f t="shared" si="21"/>
        <v>0</v>
      </c>
      <c r="R24" s="172">
        <f t="shared" si="3"/>
        <v>0</v>
      </c>
      <c r="S24" s="172">
        <f t="shared" si="4"/>
        <v>0</v>
      </c>
      <c r="U24" s="172">
        <f t="shared" si="5"/>
        <v>0</v>
      </c>
      <c r="V24" s="172">
        <f t="shared" si="6"/>
        <v>0</v>
      </c>
      <c r="W24" s="172">
        <f t="shared" si="7"/>
        <v>0</v>
      </c>
      <c r="X24" s="172">
        <f t="shared" si="8"/>
        <v>0</v>
      </c>
      <c r="Z24" s="172">
        <f t="shared" si="9"/>
        <v>0</v>
      </c>
      <c r="AA24" s="172">
        <f t="shared" si="10"/>
        <v>0</v>
      </c>
      <c r="AB24" s="172">
        <f t="shared" si="11"/>
        <v>0</v>
      </c>
      <c r="AC24" s="172">
        <f t="shared" si="12"/>
        <v>0</v>
      </c>
      <c r="AE24" s="172">
        <f t="shared" si="13"/>
        <v>0</v>
      </c>
      <c r="AF24" s="172">
        <f t="shared" si="14"/>
        <v>0</v>
      </c>
      <c r="AG24" s="172">
        <f t="shared" si="15"/>
        <v>0</v>
      </c>
      <c r="AH24" s="172">
        <f t="shared" si="16"/>
        <v>0</v>
      </c>
      <c r="AJ24" s="172">
        <f t="shared" si="17"/>
        <v>0</v>
      </c>
      <c r="AK24" s="172">
        <f t="shared" si="18"/>
        <v>0</v>
      </c>
      <c r="AL24" s="172">
        <f t="shared" si="19"/>
        <v>0</v>
      </c>
      <c r="AM24" s="172">
        <f t="shared" si="20"/>
        <v>0</v>
      </c>
    </row>
    <row r="25" spans="1:39" ht="15.75" thickTop="1" thickBot="1">
      <c r="I25" s="7"/>
      <c r="K25" s="169">
        <f t="shared" si="0"/>
        <v>0</v>
      </c>
      <c r="L25" s="169">
        <f t="shared" si="30"/>
        <v>0</v>
      </c>
      <c r="M25" s="169">
        <f t="shared" si="30"/>
        <v>0</v>
      </c>
      <c r="N25" s="169">
        <f t="shared" si="30"/>
        <v>0</v>
      </c>
      <c r="P25" s="172">
        <f t="shared" si="2"/>
        <v>0</v>
      </c>
      <c r="Q25" s="172">
        <f t="shared" si="21"/>
        <v>0</v>
      </c>
      <c r="R25" s="172">
        <f t="shared" si="3"/>
        <v>0</v>
      </c>
      <c r="S25" s="172">
        <f t="shared" si="4"/>
        <v>0</v>
      </c>
      <c r="U25" s="172">
        <f t="shared" si="5"/>
        <v>0</v>
      </c>
      <c r="V25" s="172">
        <f t="shared" si="6"/>
        <v>0</v>
      </c>
      <c r="W25" s="172">
        <f t="shared" si="7"/>
        <v>0</v>
      </c>
      <c r="X25" s="172">
        <f t="shared" si="8"/>
        <v>0</v>
      </c>
      <c r="Z25" s="172">
        <f t="shared" si="9"/>
        <v>0</v>
      </c>
      <c r="AA25" s="172">
        <f t="shared" si="10"/>
        <v>0</v>
      </c>
      <c r="AB25" s="172">
        <f t="shared" si="11"/>
        <v>0</v>
      </c>
      <c r="AC25" s="172">
        <f t="shared" si="12"/>
        <v>0</v>
      </c>
      <c r="AE25" s="172">
        <f t="shared" si="13"/>
        <v>0</v>
      </c>
      <c r="AF25" s="172">
        <f t="shared" si="14"/>
        <v>0</v>
      </c>
      <c r="AG25" s="172">
        <f t="shared" si="15"/>
        <v>0</v>
      </c>
      <c r="AH25" s="172">
        <f t="shared" si="16"/>
        <v>0</v>
      </c>
      <c r="AJ25" s="172">
        <f t="shared" si="17"/>
        <v>0</v>
      </c>
      <c r="AK25" s="172">
        <f t="shared" si="18"/>
        <v>0</v>
      </c>
      <c r="AL25" s="172">
        <f t="shared" si="19"/>
        <v>0</v>
      </c>
      <c r="AM25" s="172">
        <f t="shared" si="20"/>
        <v>0</v>
      </c>
    </row>
    <row r="26" spans="1:39" ht="15.75" thickTop="1" thickBot="1">
      <c r="A26" t="s">
        <v>66</v>
      </c>
      <c r="C26" s="170"/>
      <c r="I26" s="7"/>
      <c r="K26" s="169">
        <f t="shared" si="0"/>
        <v>0</v>
      </c>
      <c r="L26" s="169">
        <f t="shared" si="30"/>
        <v>0</v>
      </c>
      <c r="M26" s="169">
        <f t="shared" si="30"/>
        <v>0</v>
      </c>
      <c r="N26" s="169">
        <f t="shared" si="30"/>
        <v>0</v>
      </c>
      <c r="P26" s="172">
        <f t="shared" si="2"/>
        <v>0</v>
      </c>
      <c r="Q26" s="172">
        <f t="shared" si="21"/>
        <v>0</v>
      </c>
      <c r="R26" s="172">
        <f t="shared" si="3"/>
        <v>0</v>
      </c>
      <c r="S26" s="172">
        <f t="shared" si="4"/>
        <v>0</v>
      </c>
      <c r="U26" s="172">
        <f t="shared" si="5"/>
        <v>0</v>
      </c>
      <c r="V26" s="172">
        <f t="shared" si="6"/>
        <v>0</v>
      </c>
      <c r="W26" s="172">
        <f t="shared" si="7"/>
        <v>0</v>
      </c>
      <c r="X26" s="172">
        <f t="shared" si="8"/>
        <v>0</v>
      </c>
      <c r="Z26" s="172">
        <f t="shared" si="9"/>
        <v>0</v>
      </c>
      <c r="AA26" s="172">
        <f t="shared" si="10"/>
        <v>0</v>
      </c>
      <c r="AB26" s="172">
        <f t="shared" si="11"/>
        <v>0</v>
      </c>
      <c r="AC26" s="172">
        <f t="shared" si="12"/>
        <v>0</v>
      </c>
      <c r="AE26" s="172">
        <f t="shared" si="13"/>
        <v>0</v>
      </c>
      <c r="AF26" s="172">
        <f t="shared" si="14"/>
        <v>0</v>
      </c>
      <c r="AG26" s="172">
        <f t="shared" si="15"/>
        <v>0</v>
      </c>
      <c r="AH26" s="172">
        <f t="shared" si="16"/>
        <v>0</v>
      </c>
      <c r="AJ26" s="172">
        <f t="shared" si="17"/>
        <v>0</v>
      </c>
      <c r="AK26" s="172">
        <f t="shared" si="18"/>
        <v>0</v>
      </c>
      <c r="AL26" s="172">
        <f t="shared" si="19"/>
        <v>0</v>
      </c>
      <c r="AM26" s="172">
        <f t="shared" si="20"/>
        <v>0</v>
      </c>
    </row>
    <row r="27" spans="1:39" ht="15.75" thickTop="1" thickBot="1">
      <c r="A27" t="s">
        <v>67</v>
      </c>
      <c r="B27">
        <v>180</v>
      </c>
      <c r="C27" s="170"/>
      <c r="I27" s="7"/>
      <c r="K27" s="169">
        <f t="shared" si="0"/>
        <v>0</v>
      </c>
      <c r="L27" s="169">
        <f t="shared" si="30"/>
        <v>0</v>
      </c>
      <c r="M27" s="169">
        <f t="shared" si="30"/>
        <v>0</v>
      </c>
      <c r="N27" s="169">
        <f t="shared" si="30"/>
        <v>0</v>
      </c>
      <c r="P27" s="172">
        <f t="shared" si="2"/>
        <v>0</v>
      </c>
      <c r="Q27" s="172">
        <f t="shared" si="21"/>
        <v>0</v>
      </c>
      <c r="R27" s="172">
        <f t="shared" si="3"/>
        <v>0</v>
      </c>
      <c r="S27" s="172">
        <f t="shared" si="4"/>
        <v>0</v>
      </c>
      <c r="U27" s="172">
        <f t="shared" si="5"/>
        <v>0</v>
      </c>
      <c r="V27" s="172">
        <f t="shared" si="6"/>
        <v>0</v>
      </c>
      <c r="W27" s="172">
        <f t="shared" si="7"/>
        <v>0</v>
      </c>
      <c r="X27" s="172">
        <f t="shared" si="8"/>
        <v>0</v>
      </c>
      <c r="Z27" s="172">
        <f t="shared" si="9"/>
        <v>0</v>
      </c>
      <c r="AA27" s="172">
        <f t="shared" si="10"/>
        <v>0</v>
      </c>
      <c r="AB27" s="172">
        <f t="shared" si="11"/>
        <v>0</v>
      </c>
      <c r="AC27" s="172">
        <f t="shared" si="12"/>
        <v>0</v>
      </c>
      <c r="AE27" s="172">
        <f t="shared" si="13"/>
        <v>0</v>
      </c>
      <c r="AF27" s="172">
        <f t="shared" si="14"/>
        <v>0</v>
      </c>
      <c r="AG27" s="172">
        <f t="shared" si="15"/>
        <v>0</v>
      </c>
      <c r="AH27" s="172">
        <f t="shared" si="16"/>
        <v>0</v>
      </c>
      <c r="AJ27" s="172">
        <f t="shared" si="17"/>
        <v>0</v>
      </c>
      <c r="AK27" s="172">
        <f t="shared" si="18"/>
        <v>0</v>
      </c>
      <c r="AL27" s="172">
        <f t="shared" si="19"/>
        <v>0</v>
      </c>
      <c r="AM27" s="172">
        <f t="shared" si="20"/>
        <v>0</v>
      </c>
    </row>
    <row r="28" spans="1:39" ht="15.75" thickTop="1" thickBot="1">
      <c r="A28" t="s">
        <v>68</v>
      </c>
      <c r="B28">
        <v>330</v>
      </c>
      <c r="C28" s="170"/>
      <c r="I28" s="7"/>
      <c r="K28" s="169">
        <f t="shared" si="0"/>
        <v>0</v>
      </c>
      <c r="L28" s="169">
        <f t="shared" si="30"/>
        <v>0</v>
      </c>
      <c r="M28" s="169">
        <f t="shared" si="30"/>
        <v>0</v>
      </c>
      <c r="N28" s="169">
        <f t="shared" si="30"/>
        <v>0</v>
      </c>
      <c r="P28" s="172">
        <f t="shared" si="2"/>
        <v>0</v>
      </c>
      <c r="Q28" s="172">
        <f t="shared" si="21"/>
        <v>0</v>
      </c>
      <c r="R28" s="172">
        <f t="shared" si="3"/>
        <v>0</v>
      </c>
      <c r="S28" s="172">
        <f t="shared" si="4"/>
        <v>0</v>
      </c>
      <c r="U28" s="172">
        <f t="shared" si="5"/>
        <v>0</v>
      </c>
      <c r="V28" s="172">
        <f t="shared" si="6"/>
        <v>0</v>
      </c>
      <c r="W28" s="172">
        <f t="shared" si="7"/>
        <v>0</v>
      </c>
      <c r="X28" s="172">
        <f t="shared" si="8"/>
        <v>0</v>
      </c>
      <c r="Z28" s="172">
        <f t="shared" si="9"/>
        <v>0</v>
      </c>
      <c r="AA28" s="172">
        <f t="shared" si="10"/>
        <v>0</v>
      </c>
      <c r="AB28" s="172">
        <f t="shared" si="11"/>
        <v>0</v>
      </c>
      <c r="AC28" s="172">
        <f t="shared" si="12"/>
        <v>0</v>
      </c>
      <c r="AE28" s="172">
        <f t="shared" si="13"/>
        <v>0</v>
      </c>
      <c r="AF28" s="172">
        <f t="shared" si="14"/>
        <v>0</v>
      </c>
      <c r="AG28" s="172">
        <f t="shared" si="15"/>
        <v>0</v>
      </c>
      <c r="AH28" s="172">
        <f t="shared" si="16"/>
        <v>0</v>
      </c>
      <c r="AJ28" s="172">
        <f t="shared" si="17"/>
        <v>0</v>
      </c>
      <c r="AK28" s="172">
        <f t="shared" si="18"/>
        <v>0</v>
      </c>
      <c r="AL28" s="172">
        <f t="shared" si="19"/>
        <v>0</v>
      </c>
      <c r="AM28" s="172">
        <f t="shared" si="20"/>
        <v>0</v>
      </c>
    </row>
    <row r="29" spans="1:39" ht="15.75" thickTop="1" thickBot="1">
      <c r="A29" t="s">
        <v>69</v>
      </c>
      <c r="B29">
        <v>60</v>
      </c>
      <c r="C29" s="170"/>
      <c r="I29" s="7"/>
      <c r="K29" s="169">
        <f t="shared" si="0"/>
        <v>0</v>
      </c>
      <c r="L29" s="169">
        <f t="shared" si="30"/>
        <v>0</v>
      </c>
      <c r="M29" s="169">
        <f t="shared" si="30"/>
        <v>0</v>
      </c>
      <c r="N29" s="169">
        <f t="shared" si="30"/>
        <v>0</v>
      </c>
      <c r="P29" s="172">
        <f t="shared" si="2"/>
        <v>0</v>
      </c>
      <c r="Q29" s="172">
        <f t="shared" si="21"/>
        <v>0</v>
      </c>
      <c r="R29" s="172">
        <f t="shared" si="3"/>
        <v>0</v>
      </c>
      <c r="S29" s="172">
        <f t="shared" si="4"/>
        <v>0</v>
      </c>
      <c r="U29" s="172">
        <f t="shared" si="5"/>
        <v>0</v>
      </c>
      <c r="V29" s="172">
        <f t="shared" si="6"/>
        <v>0</v>
      </c>
      <c r="W29" s="172">
        <f t="shared" si="7"/>
        <v>0</v>
      </c>
      <c r="X29" s="172">
        <f t="shared" si="8"/>
        <v>0</v>
      </c>
      <c r="Z29" s="172">
        <f t="shared" si="9"/>
        <v>0</v>
      </c>
      <c r="AA29" s="172">
        <f t="shared" si="10"/>
        <v>0</v>
      </c>
      <c r="AB29" s="172">
        <f t="shared" si="11"/>
        <v>0</v>
      </c>
      <c r="AC29" s="172">
        <f t="shared" si="12"/>
        <v>0</v>
      </c>
      <c r="AE29" s="172">
        <f t="shared" si="13"/>
        <v>0</v>
      </c>
      <c r="AF29" s="172">
        <f t="shared" si="14"/>
        <v>0</v>
      </c>
      <c r="AG29" s="172">
        <f t="shared" si="15"/>
        <v>0</v>
      </c>
      <c r="AH29" s="172">
        <f t="shared" si="16"/>
        <v>0</v>
      </c>
      <c r="AJ29" s="172">
        <f t="shared" si="17"/>
        <v>0</v>
      </c>
      <c r="AK29" s="172">
        <f t="shared" si="18"/>
        <v>0</v>
      </c>
      <c r="AL29" s="172">
        <f t="shared" si="19"/>
        <v>0</v>
      </c>
      <c r="AM29" s="172">
        <f t="shared" si="20"/>
        <v>0</v>
      </c>
    </row>
    <row r="30" spans="1:39" ht="15.75" thickTop="1" thickBot="1">
      <c r="A30" t="s">
        <v>70</v>
      </c>
      <c r="B30">
        <v>15</v>
      </c>
      <c r="I30" s="7"/>
      <c r="K30" s="169">
        <f t="shared" si="0"/>
        <v>0</v>
      </c>
      <c r="L30" s="169">
        <f t="shared" si="30"/>
        <v>0</v>
      </c>
      <c r="M30" s="169">
        <f t="shared" si="30"/>
        <v>0</v>
      </c>
      <c r="N30" s="169">
        <f t="shared" si="30"/>
        <v>0</v>
      </c>
      <c r="P30" s="172">
        <f t="shared" si="2"/>
        <v>0</v>
      </c>
      <c r="Q30" s="172">
        <f t="shared" si="21"/>
        <v>0</v>
      </c>
      <c r="R30" s="172">
        <f t="shared" si="3"/>
        <v>0</v>
      </c>
      <c r="S30" s="172">
        <f t="shared" si="4"/>
        <v>0</v>
      </c>
      <c r="U30" s="172">
        <f t="shared" si="5"/>
        <v>0</v>
      </c>
      <c r="V30" s="172">
        <f t="shared" si="6"/>
        <v>0</v>
      </c>
      <c r="W30" s="172">
        <f t="shared" si="7"/>
        <v>0</v>
      </c>
      <c r="X30" s="172">
        <f t="shared" si="8"/>
        <v>0</v>
      </c>
      <c r="Z30" s="172">
        <f t="shared" si="9"/>
        <v>0</v>
      </c>
      <c r="AA30" s="172">
        <f t="shared" si="10"/>
        <v>0</v>
      </c>
      <c r="AB30" s="172">
        <f t="shared" si="11"/>
        <v>0</v>
      </c>
      <c r="AC30" s="172">
        <f t="shared" si="12"/>
        <v>0</v>
      </c>
      <c r="AE30" s="172">
        <f t="shared" si="13"/>
        <v>0</v>
      </c>
      <c r="AF30" s="172">
        <f t="shared" si="14"/>
        <v>0</v>
      </c>
      <c r="AG30" s="172">
        <f t="shared" si="15"/>
        <v>0</v>
      </c>
      <c r="AH30" s="172">
        <f t="shared" si="16"/>
        <v>0</v>
      </c>
      <c r="AJ30" s="172">
        <f t="shared" si="17"/>
        <v>0</v>
      </c>
      <c r="AK30" s="172">
        <f t="shared" si="18"/>
        <v>0</v>
      </c>
      <c r="AL30" s="172">
        <f t="shared" si="19"/>
        <v>0</v>
      </c>
      <c r="AM30" s="172">
        <f t="shared" si="20"/>
        <v>0</v>
      </c>
    </row>
    <row r="31" spans="1:39" ht="15.75" thickTop="1" thickBot="1">
      <c r="A31" t="s">
        <v>14</v>
      </c>
      <c r="B31" s="161">
        <f>SUM(B27:B30)</f>
        <v>585</v>
      </c>
      <c r="I31" s="7"/>
      <c r="K31" s="169">
        <f t="shared" si="0"/>
        <v>0</v>
      </c>
      <c r="L31" s="169">
        <f t="shared" si="30"/>
        <v>0</v>
      </c>
      <c r="M31" s="169">
        <f t="shared" si="30"/>
        <v>0</v>
      </c>
      <c r="N31" s="169">
        <f t="shared" si="30"/>
        <v>0</v>
      </c>
      <c r="P31" s="172">
        <f t="shared" si="2"/>
        <v>0</v>
      </c>
      <c r="Q31" s="172">
        <f t="shared" si="21"/>
        <v>0</v>
      </c>
      <c r="R31" s="172">
        <f t="shared" si="3"/>
        <v>0</v>
      </c>
      <c r="S31" s="172">
        <f t="shared" si="4"/>
        <v>0</v>
      </c>
      <c r="U31" s="172">
        <f t="shared" si="5"/>
        <v>0</v>
      </c>
      <c r="V31" s="172">
        <f t="shared" si="6"/>
        <v>0</v>
      </c>
      <c r="W31" s="172">
        <f t="shared" si="7"/>
        <v>0</v>
      </c>
      <c r="X31" s="172">
        <f t="shared" si="8"/>
        <v>0</v>
      </c>
      <c r="Z31" s="172">
        <f t="shared" si="9"/>
        <v>0</v>
      </c>
      <c r="AA31" s="172">
        <f t="shared" si="10"/>
        <v>0</v>
      </c>
      <c r="AB31" s="172">
        <f t="shared" si="11"/>
        <v>0</v>
      </c>
      <c r="AC31" s="172">
        <f t="shared" si="12"/>
        <v>0</v>
      </c>
      <c r="AE31" s="172">
        <f t="shared" si="13"/>
        <v>0</v>
      </c>
      <c r="AF31" s="172">
        <f t="shared" si="14"/>
        <v>0</v>
      </c>
      <c r="AG31" s="172">
        <f t="shared" si="15"/>
        <v>0</v>
      </c>
      <c r="AH31" s="172">
        <f t="shared" si="16"/>
        <v>0</v>
      </c>
      <c r="AJ31" s="172">
        <f t="shared" si="17"/>
        <v>0</v>
      </c>
      <c r="AK31" s="172">
        <f t="shared" si="18"/>
        <v>0</v>
      </c>
      <c r="AL31" s="172">
        <f t="shared" si="19"/>
        <v>0</v>
      </c>
      <c r="AM31" s="172">
        <f t="shared" si="20"/>
        <v>0</v>
      </c>
    </row>
    <row r="32" spans="1:39" ht="15.75" thickTop="1" thickBot="1">
      <c r="I32" s="7"/>
      <c r="K32" s="169">
        <f t="shared" si="0"/>
        <v>0</v>
      </c>
      <c r="L32" s="169">
        <f t="shared" si="30"/>
        <v>0</v>
      </c>
      <c r="M32" s="169">
        <f t="shared" si="30"/>
        <v>0</v>
      </c>
      <c r="N32" s="169">
        <f t="shared" si="30"/>
        <v>0</v>
      </c>
      <c r="P32" s="172">
        <f t="shared" si="2"/>
        <v>0</v>
      </c>
      <c r="Q32" s="172">
        <f t="shared" si="21"/>
        <v>0</v>
      </c>
      <c r="R32" s="172">
        <f t="shared" si="3"/>
        <v>0</v>
      </c>
      <c r="S32" s="172">
        <f t="shared" si="4"/>
        <v>0</v>
      </c>
      <c r="U32" s="172">
        <f t="shared" si="5"/>
        <v>0</v>
      </c>
      <c r="V32" s="172">
        <f t="shared" si="6"/>
        <v>0</v>
      </c>
      <c r="W32" s="172">
        <f t="shared" si="7"/>
        <v>0</v>
      </c>
      <c r="X32" s="172">
        <f t="shared" si="8"/>
        <v>0</v>
      </c>
      <c r="Z32" s="172">
        <f t="shared" si="9"/>
        <v>0</v>
      </c>
      <c r="AA32" s="172">
        <f t="shared" si="10"/>
        <v>0</v>
      </c>
      <c r="AB32" s="172">
        <f t="shared" si="11"/>
        <v>0</v>
      </c>
      <c r="AC32" s="172">
        <f t="shared" si="12"/>
        <v>0</v>
      </c>
      <c r="AE32" s="172">
        <f t="shared" si="13"/>
        <v>0</v>
      </c>
      <c r="AF32" s="172">
        <f t="shared" si="14"/>
        <v>0</v>
      </c>
      <c r="AG32" s="172">
        <f t="shared" si="15"/>
        <v>0</v>
      </c>
      <c r="AH32" s="172">
        <f t="shared" si="16"/>
        <v>0</v>
      </c>
      <c r="AJ32" s="172">
        <f t="shared" si="17"/>
        <v>0</v>
      </c>
      <c r="AK32" s="172">
        <f t="shared" si="18"/>
        <v>0</v>
      </c>
      <c r="AL32" s="172">
        <f t="shared" si="19"/>
        <v>0</v>
      </c>
      <c r="AM32" s="172">
        <f t="shared" si="20"/>
        <v>0</v>
      </c>
    </row>
    <row r="33" spans="1:39" ht="15.75" thickTop="1" thickBot="1">
      <c r="I33" s="7"/>
      <c r="K33" s="169">
        <f t="shared" si="0"/>
        <v>0</v>
      </c>
      <c r="L33" s="169">
        <f t="shared" si="30"/>
        <v>0</v>
      </c>
      <c r="M33" s="169">
        <f t="shared" si="30"/>
        <v>0</v>
      </c>
      <c r="N33" s="169">
        <f t="shared" si="30"/>
        <v>0</v>
      </c>
      <c r="P33" s="172">
        <f t="shared" si="2"/>
        <v>0</v>
      </c>
      <c r="Q33" s="172">
        <f t="shared" si="21"/>
        <v>0</v>
      </c>
      <c r="R33" s="172">
        <f t="shared" si="3"/>
        <v>0</v>
      </c>
      <c r="S33" s="172">
        <f t="shared" si="4"/>
        <v>0</v>
      </c>
      <c r="U33" s="172">
        <f t="shared" si="5"/>
        <v>0</v>
      </c>
      <c r="V33" s="172">
        <f t="shared" si="6"/>
        <v>0</v>
      </c>
      <c r="W33" s="172">
        <f t="shared" si="7"/>
        <v>0</v>
      </c>
      <c r="X33" s="172">
        <f t="shared" si="8"/>
        <v>0</v>
      </c>
      <c r="Z33" s="172">
        <f t="shared" si="9"/>
        <v>0</v>
      </c>
      <c r="AA33" s="172">
        <f t="shared" si="10"/>
        <v>0</v>
      </c>
      <c r="AB33" s="172">
        <f t="shared" si="11"/>
        <v>0</v>
      </c>
      <c r="AC33" s="172">
        <f t="shared" si="12"/>
        <v>0</v>
      </c>
      <c r="AE33" s="172">
        <f t="shared" si="13"/>
        <v>0</v>
      </c>
      <c r="AF33" s="172">
        <f t="shared" si="14"/>
        <v>0</v>
      </c>
      <c r="AG33" s="172">
        <f t="shared" si="15"/>
        <v>0</v>
      </c>
      <c r="AH33" s="172">
        <f t="shared" si="16"/>
        <v>0</v>
      </c>
      <c r="AJ33" s="172">
        <f t="shared" si="17"/>
        <v>0</v>
      </c>
      <c r="AK33" s="172">
        <f t="shared" si="18"/>
        <v>0</v>
      </c>
      <c r="AL33" s="172">
        <f t="shared" si="19"/>
        <v>0</v>
      </c>
      <c r="AM33" s="172">
        <f t="shared" si="20"/>
        <v>0</v>
      </c>
    </row>
    <row r="34" spans="1:39" ht="15.75" thickTop="1" thickBot="1">
      <c r="B34" t="s">
        <v>71</v>
      </c>
      <c r="C34" s="6"/>
      <c r="F34" s="6"/>
      <c r="I34" s="7"/>
      <c r="K34" s="169">
        <f t="shared" si="0"/>
        <v>0</v>
      </c>
      <c r="L34" s="169">
        <f t="shared" si="30"/>
        <v>0</v>
      </c>
      <c r="M34" s="169">
        <f t="shared" si="30"/>
        <v>0</v>
      </c>
      <c r="N34" s="169">
        <f t="shared" si="30"/>
        <v>0</v>
      </c>
      <c r="P34" s="172">
        <f t="shared" si="2"/>
        <v>0</v>
      </c>
      <c r="Q34" s="172">
        <f t="shared" si="21"/>
        <v>0</v>
      </c>
      <c r="R34" s="172">
        <f t="shared" si="3"/>
        <v>0</v>
      </c>
      <c r="S34" s="172">
        <f t="shared" si="4"/>
        <v>0</v>
      </c>
      <c r="U34" s="172">
        <f t="shared" si="5"/>
        <v>0</v>
      </c>
      <c r="V34" s="172">
        <f t="shared" si="6"/>
        <v>0</v>
      </c>
      <c r="W34" s="172">
        <f t="shared" si="7"/>
        <v>0</v>
      </c>
      <c r="X34" s="172">
        <f t="shared" si="8"/>
        <v>0</v>
      </c>
      <c r="Z34" s="172">
        <f t="shared" si="9"/>
        <v>0</v>
      </c>
      <c r="AA34" s="172">
        <f t="shared" si="10"/>
        <v>0</v>
      </c>
      <c r="AB34" s="172">
        <f t="shared" si="11"/>
        <v>0</v>
      </c>
      <c r="AC34" s="172">
        <f t="shared" si="12"/>
        <v>0</v>
      </c>
      <c r="AE34" s="172">
        <f t="shared" si="13"/>
        <v>0</v>
      </c>
      <c r="AF34" s="172">
        <f t="shared" si="14"/>
        <v>0</v>
      </c>
      <c r="AG34" s="172">
        <f t="shared" si="15"/>
        <v>0</v>
      </c>
      <c r="AH34" s="172">
        <f t="shared" si="16"/>
        <v>0</v>
      </c>
      <c r="AJ34" s="172">
        <f t="shared" si="17"/>
        <v>0</v>
      </c>
      <c r="AK34" s="172">
        <f t="shared" si="18"/>
        <v>0</v>
      </c>
      <c r="AL34" s="172">
        <f t="shared" si="19"/>
        <v>0</v>
      </c>
      <c r="AM34" s="172">
        <f t="shared" si="20"/>
        <v>0</v>
      </c>
    </row>
    <row r="35" spans="1:39" ht="15.75" thickTop="1" thickBot="1">
      <c r="A35">
        <v>1</v>
      </c>
      <c r="B35" s="6">
        <f>B10/5</f>
        <v>810916.92</v>
      </c>
      <c r="F35" s="6"/>
      <c r="I35" s="7"/>
      <c r="K35" s="169">
        <f t="shared" si="0"/>
        <v>0</v>
      </c>
      <c r="L35" s="169">
        <f t="shared" si="30"/>
        <v>0</v>
      </c>
      <c r="M35" s="169">
        <f t="shared" si="30"/>
        <v>0</v>
      </c>
      <c r="N35" s="169">
        <f t="shared" si="30"/>
        <v>0</v>
      </c>
      <c r="P35" s="172">
        <f t="shared" si="2"/>
        <v>0</v>
      </c>
      <c r="Q35" s="172">
        <f t="shared" si="21"/>
        <v>0</v>
      </c>
      <c r="R35" s="172">
        <f t="shared" si="3"/>
        <v>0</v>
      </c>
      <c r="S35" s="172">
        <f t="shared" si="4"/>
        <v>0</v>
      </c>
      <c r="U35" s="172">
        <f t="shared" si="5"/>
        <v>0</v>
      </c>
      <c r="V35" s="172">
        <f t="shared" si="6"/>
        <v>0</v>
      </c>
      <c r="W35" s="172">
        <f t="shared" si="7"/>
        <v>0</v>
      </c>
      <c r="X35" s="172">
        <f t="shared" si="8"/>
        <v>0</v>
      </c>
      <c r="Z35" s="172">
        <f t="shared" si="9"/>
        <v>0</v>
      </c>
      <c r="AA35" s="172">
        <f t="shared" si="10"/>
        <v>0</v>
      </c>
      <c r="AB35" s="172">
        <f t="shared" si="11"/>
        <v>0</v>
      </c>
      <c r="AC35" s="172">
        <f t="shared" si="12"/>
        <v>0</v>
      </c>
      <c r="AE35" s="172">
        <f t="shared" si="13"/>
        <v>0</v>
      </c>
      <c r="AF35" s="172">
        <f t="shared" si="14"/>
        <v>0</v>
      </c>
      <c r="AG35" s="172">
        <f t="shared" si="15"/>
        <v>0</v>
      </c>
      <c r="AH35" s="172">
        <f t="shared" si="16"/>
        <v>0</v>
      </c>
      <c r="AJ35" s="172">
        <f t="shared" si="17"/>
        <v>0</v>
      </c>
      <c r="AK35" s="172">
        <f t="shared" si="18"/>
        <v>0</v>
      </c>
      <c r="AL35" s="172">
        <f t="shared" si="19"/>
        <v>0</v>
      </c>
      <c r="AM35" s="172">
        <f t="shared" si="20"/>
        <v>0</v>
      </c>
    </row>
    <row r="36" spans="1:39" ht="15.75" thickTop="1" thickBot="1">
      <c r="A36">
        <v>2</v>
      </c>
      <c r="B36" s="6">
        <f>B35</f>
        <v>810916.92</v>
      </c>
      <c r="F36" s="6"/>
      <c r="I36" s="7"/>
      <c r="K36" s="169">
        <f t="shared" si="0"/>
        <v>0</v>
      </c>
      <c r="L36" s="169">
        <f t="shared" si="30"/>
        <v>0</v>
      </c>
      <c r="M36" s="169">
        <f t="shared" si="30"/>
        <v>0</v>
      </c>
      <c r="N36" s="169">
        <f t="shared" si="30"/>
        <v>0</v>
      </c>
      <c r="P36" s="172">
        <f t="shared" si="2"/>
        <v>0</v>
      </c>
      <c r="Q36" s="172">
        <f t="shared" si="21"/>
        <v>0</v>
      </c>
      <c r="R36" s="172">
        <f t="shared" si="3"/>
        <v>0</v>
      </c>
      <c r="S36" s="172">
        <f t="shared" si="4"/>
        <v>0</v>
      </c>
      <c r="U36" s="172">
        <f t="shared" si="5"/>
        <v>0</v>
      </c>
      <c r="V36" s="172">
        <f t="shared" si="6"/>
        <v>0</v>
      </c>
      <c r="W36" s="172">
        <f t="shared" si="7"/>
        <v>0</v>
      </c>
      <c r="X36" s="172">
        <f t="shared" si="8"/>
        <v>0</v>
      </c>
      <c r="Z36" s="172">
        <f t="shared" si="9"/>
        <v>0</v>
      </c>
      <c r="AA36" s="172">
        <f t="shared" si="10"/>
        <v>0</v>
      </c>
      <c r="AB36" s="172">
        <f t="shared" si="11"/>
        <v>0</v>
      </c>
      <c r="AC36" s="172">
        <f t="shared" si="12"/>
        <v>0</v>
      </c>
      <c r="AE36" s="172">
        <f t="shared" si="13"/>
        <v>0</v>
      </c>
      <c r="AF36" s="172">
        <f t="shared" si="14"/>
        <v>0</v>
      </c>
      <c r="AG36" s="172">
        <f t="shared" si="15"/>
        <v>0</v>
      </c>
      <c r="AH36" s="172">
        <f t="shared" si="16"/>
        <v>0</v>
      </c>
      <c r="AJ36" s="172">
        <f t="shared" si="17"/>
        <v>0</v>
      </c>
      <c r="AK36" s="172">
        <f t="shared" si="18"/>
        <v>0</v>
      </c>
      <c r="AL36" s="172">
        <f t="shared" si="19"/>
        <v>0</v>
      </c>
      <c r="AM36" s="172">
        <f t="shared" si="20"/>
        <v>0</v>
      </c>
    </row>
    <row r="37" spans="1:39" ht="15.75" thickTop="1" thickBot="1">
      <c r="A37">
        <v>3</v>
      </c>
      <c r="B37" s="6">
        <f t="shared" ref="B37:B39" si="31">B36</f>
        <v>810916.92</v>
      </c>
      <c r="I37" s="7"/>
      <c r="K37" s="169">
        <f t="shared" si="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P37" s="172">
        <f t="shared" si="2"/>
        <v>0</v>
      </c>
      <c r="Q37" s="172">
        <f t="shared" si="21"/>
        <v>0</v>
      </c>
      <c r="R37" s="172">
        <f t="shared" si="3"/>
        <v>0</v>
      </c>
      <c r="S37" s="172">
        <f t="shared" si="4"/>
        <v>0</v>
      </c>
      <c r="U37" s="172">
        <f t="shared" si="5"/>
        <v>0</v>
      </c>
      <c r="V37" s="172">
        <f t="shared" si="6"/>
        <v>0</v>
      </c>
      <c r="W37" s="172">
        <f t="shared" si="7"/>
        <v>0</v>
      </c>
      <c r="X37" s="172">
        <f t="shared" si="8"/>
        <v>0</v>
      </c>
      <c r="Z37" s="172">
        <f t="shared" si="9"/>
        <v>0</v>
      </c>
      <c r="AA37" s="172">
        <f t="shared" si="10"/>
        <v>0</v>
      </c>
      <c r="AB37" s="172">
        <f t="shared" si="11"/>
        <v>0</v>
      </c>
      <c r="AC37" s="172">
        <f t="shared" si="12"/>
        <v>0</v>
      </c>
      <c r="AE37" s="172">
        <f t="shared" si="13"/>
        <v>0</v>
      </c>
      <c r="AF37" s="172">
        <f t="shared" si="14"/>
        <v>0</v>
      </c>
      <c r="AG37" s="172">
        <f t="shared" si="15"/>
        <v>0</v>
      </c>
      <c r="AH37" s="172">
        <f t="shared" si="16"/>
        <v>0</v>
      </c>
      <c r="AJ37" s="172">
        <f t="shared" si="17"/>
        <v>0</v>
      </c>
      <c r="AK37" s="172">
        <f t="shared" si="18"/>
        <v>0</v>
      </c>
      <c r="AL37" s="172">
        <f t="shared" si="19"/>
        <v>0</v>
      </c>
      <c r="AM37" s="172">
        <f t="shared" si="20"/>
        <v>0</v>
      </c>
    </row>
    <row r="38" spans="1:39" ht="15.75" thickTop="1" thickBot="1">
      <c r="A38">
        <v>4</v>
      </c>
      <c r="B38" s="6">
        <f t="shared" si="31"/>
        <v>810916.92</v>
      </c>
      <c r="I38" s="7"/>
      <c r="K38" s="169">
        <f t="shared" si="0"/>
        <v>0</v>
      </c>
      <c r="L38" s="169">
        <f t="shared" si="30"/>
        <v>0</v>
      </c>
      <c r="M38" s="169">
        <f t="shared" si="30"/>
        <v>0</v>
      </c>
      <c r="N38" s="169">
        <f t="shared" si="30"/>
        <v>0</v>
      </c>
      <c r="P38" s="172">
        <f t="shared" si="2"/>
        <v>0</v>
      </c>
      <c r="Q38" s="172">
        <f t="shared" si="21"/>
        <v>0</v>
      </c>
      <c r="R38" s="172">
        <f t="shared" si="3"/>
        <v>0</v>
      </c>
      <c r="S38" s="172">
        <f t="shared" si="4"/>
        <v>0</v>
      </c>
      <c r="U38" s="172">
        <f t="shared" si="5"/>
        <v>0</v>
      </c>
      <c r="V38" s="172">
        <f t="shared" si="6"/>
        <v>0</v>
      </c>
      <c r="W38" s="172">
        <f t="shared" si="7"/>
        <v>0</v>
      </c>
      <c r="X38" s="172">
        <f t="shared" si="8"/>
        <v>0</v>
      </c>
      <c r="Z38" s="172">
        <f t="shared" si="9"/>
        <v>0</v>
      </c>
      <c r="AA38" s="172">
        <f t="shared" si="10"/>
        <v>0</v>
      </c>
      <c r="AB38" s="172">
        <f t="shared" si="11"/>
        <v>0</v>
      </c>
      <c r="AC38" s="172">
        <f t="shared" si="12"/>
        <v>0</v>
      </c>
      <c r="AE38" s="172">
        <f t="shared" si="13"/>
        <v>0</v>
      </c>
      <c r="AF38" s="172">
        <f t="shared" si="14"/>
        <v>0</v>
      </c>
      <c r="AG38" s="172">
        <f t="shared" si="15"/>
        <v>0</v>
      </c>
      <c r="AH38" s="172">
        <f t="shared" si="16"/>
        <v>0</v>
      </c>
      <c r="AJ38" s="172">
        <f t="shared" si="17"/>
        <v>0</v>
      </c>
      <c r="AK38" s="172">
        <f t="shared" si="18"/>
        <v>0</v>
      </c>
      <c r="AL38" s="172">
        <f t="shared" si="19"/>
        <v>0</v>
      </c>
      <c r="AM38" s="172">
        <f t="shared" si="20"/>
        <v>0</v>
      </c>
    </row>
    <row r="39" spans="1:39" ht="15.75" thickTop="1" thickBot="1">
      <c r="A39">
        <v>5</v>
      </c>
      <c r="B39" s="6">
        <f t="shared" si="31"/>
        <v>810916.92</v>
      </c>
      <c r="I39" s="7"/>
      <c r="K39" s="169">
        <f t="shared" si="0"/>
        <v>0</v>
      </c>
      <c r="L39" s="169">
        <f t="shared" si="30"/>
        <v>0</v>
      </c>
      <c r="M39" s="169">
        <f t="shared" si="30"/>
        <v>0</v>
      </c>
      <c r="N39" s="169">
        <f t="shared" si="30"/>
        <v>0</v>
      </c>
      <c r="P39" s="172">
        <f t="shared" si="2"/>
        <v>0</v>
      </c>
      <c r="Q39" s="172">
        <f t="shared" si="21"/>
        <v>0</v>
      </c>
      <c r="R39" s="172">
        <f t="shared" si="3"/>
        <v>0</v>
      </c>
      <c r="S39" s="172">
        <f t="shared" si="4"/>
        <v>0</v>
      </c>
      <c r="U39" s="172">
        <f t="shared" si="5"/>
        <v>0</v>
      </c>
      <c r="V39" s="172">
        <f t="shared" si="6"/>
        <v>0</v>
      </c>
      <c r="W39" s="172">
        <f t="shared" si="7"/>
        <v>0</v>
      </c>
      <c r="X39" s="172">
        <f t="shared" si="8"/>
        <v>0</v>
      </c>
      <c r="Z39" s="172">
        <f t="shared" si="9"/>
        <v>0</v>
      </c>
      <c r="AA39" s="172">
        <f t="shared" si="10"/>
        <v>0</v>
      </c>
      <c r="AB39" s="172">
        <f t="shared" si="11"/>
        <v>0</v>
      </c>
      <c r="AC39" s="172">
        <f t="shared" si="12"/>
        <v>0</v>
      </c>
      <c r="AE39" s="172">
        <f t="shared" si="13"/>
        <v>0</v>
      </c>
      <c r="AF39" s="172">
        <f t="shared" si="14"/>
        <v>0</v>
      </c>
      <c r="AG39" s="172">
        <f t="shared" si="15"/>
        <v>0</v>
      </c>
      <c r="AH39" s="172">
        <f t="shared" si="16"/>
        <v>0</v>
      </c>
      <c r="AJ39" s="172">
        <f t="shared" si="17"/>
        <v>0</v>
      </c>
      <c r="AK39" s="172">
        <f t="shared" si="18"/>
        <v>0</v>
      </c>
      <c r="AL39" s="172">
        <f t="shared" si="19"/>
        <v>0</v>
      </c>
      <c r="AM39" s="172">
        <f t="shared" si="20"/>
        <v>0</v>
      </c>
    </row>
    <row r="40" spans="1:39" ht="15.75" thickTop="1" thickBot="1">
      <c r="A40" s="202" t="s">
        <v>14</v>
      </c>
      <c r="B40" s="6">
        <f>SUM(B35:B39)</f>
        <v>4054584.6</v>
      </c>
      <c r="I40" s="7"/>
      <c r="K40" s="169">
        <f t="shared" si="0"/>
        <v>0</v>
      </c>
      <c r="L40" s="169">
        <f t="shared" si="30"/>
        <v>0</v>
      </c>
      <c r="M40" s="169">
        <f t="shared" si="30"/>
        <v>0</v>
      </c>
      <c r="N40" s="169">
        <f t="shared" si="30"/>
        <v>0</v>
      </c>
      <c r="P40" s="172">
        <f t="shared" si="2"/>
        <v>0</v>
      </c>
      <c r="Q40" s="172">
        <f t="shared" si="21"/>
        <v>0</v>
      </c>
      <c r="R40" s="172">
        <f t="shared" si="3"/>
        <v>0</v>
      </c>
      <c r="S40" s="172">
        <f t="shared" si="4"/>
        <v>0</v>
      </c>
      <c r="U40" s="172">
        <f t="shared" si="5"/>
        <v>0</v>
      </c>
      <c r="V40" s="172">
        <f t="shared" si="6"/>
        <v>0</v>
      </c>
      <c r="W40" s="172">
        <f t="shared" si="7"/>
        <v>0</v>
      </c>
      <c r="X40" s="172">
        <f t="shared" si="8"/>
        <v>0</v>
      </c>
      <c r="Z40" s="172">
        <f t="shared" si="9"/>
        <v>0</v>
      </c>
      <c r="AA40" s="172">
        <f t="shared" si="10"/>
        <v>0</v>
      </c>
      <c r="AB40" s="172">
        <f t="shared" si="11"/>
        <v>0</v>
      </c>
      <c r="AC40" s="172">
        <f t="shared" si="12"/>
        <v>0</v>
      </c>
      <c r="AE40" s="172">
        <f t="shared" si="13"/>
        <v>0</v>
      </c>
      <c r="AF40" s="172">
        <f t="shared" si="14"/>
        <v>0</v>
      </c>
      <c r="AG40" s="172">
        <f t="shared" si="15"/>
        <v>0</v>
      </c>
      <c r="AH40" s="172">
        <f t="shared" si="16"/>
        <v>0</v>
      </c>
      <c r="AJ40" s="172">
        <f t="shared" si="17"/>
        <v>0</v>
      </c>
      <c r="AK40" s="172">
        <f t="shared" si="18"/>
        <v>0</v>
      </c>
      <c r="AL40" s="172">
        <f t="shared" si="19"/>
        <v>0</v>
      </c>
      <c r="AM40" s="172">
        <f t="shared" si="20"/>
        <v>0</v>
      </c>
    </row>
    <row r="41" spans="1:39" ht="15.75" thickTop="1" thickBot="1">
      <c r="I41" s="7"/>
      <c r="K41" s="169">
        <f t="shared" si="0"/>
        <v>0</v>
      </c>
      <c r="L41" s="169">
        <f t="shared" si="30"/>
        <v>0</v>
      </c>
      <c r="M41" s="169">
        <f t="shared" si="30"/>
        <v>0</v>
      </c>
      <c r="N41" s="169">
        <f t="shared" si="30"/>
        <v>0</v>
      </c>
      <c r="P41" s="172">
        <f t="shared" si="2"/>
        <v>0</v>
      </c>
      <c r="Q41" s="172">
        <f t="shared" si="21"/>
        <v>0</v>
      </c>
      <c r="R41" s="172">
        <f t="shared" si="3"/>
        <v>0</v>
      </c>
      <c r="S41" s="172">
        <f t="shared" si="4"/>
        <v>0</v>
      </c>
      <c r="U41" s="172">
        <f t="shared" si="5"/>
        <v>0</v>
      </c>
      <c r="V41" s="172">
        <f t="shared" si="6"/>
        <v>0</v>
      </c>
      <c r="W41" s="172">
        <f t="shared" si="7"/>
        <v>0</v>
      </c>
      <c r="X41" s="172">
        <f t="shared" si="8"/>
        <v>0</v>
      </c>
      <c r="Z41" s="172">
        <f t="shared" si="9"/>
        <v>0</v>
      </c>
      <c r="AA41" s="172">
        <f t="shared" si="10"/>
        <v>0</v>
      </c>
      <c r="AB41" s="172">
        <f t="shared" si="11"/>
        <v>0</v>
      </c>
      <c r="AC41" s="172">
        <f t="shared" si="12"/>
        <v>0</v>
      </c>
      <c r="AE41" s="172">
        <f t="shared" si="13"/>
        <v>0</v>
      </c>
      <c r="AF41" s="172">
        <f t="shared" si="14"/>
        <v>0</v>
      </c>
      <c r="AG41" s="172">
        <f t="shared" si="15"/>
        <v>0</v>
      </c>
      <c r="AH41" s="172">
        <f t="shared" si="16"/>
        <v>0</v>
      </c>
      <c r="AJ41" s="172">
        <f t="shared" si="17"/>
        <v>0</v>
      </c>
      <c r="AK41" s="172">
        <f t="shared" si="18"/>
        <v>0</v>
      </c>
      <c r="AL41" s="172">
        <f t="shared" si="19"/>
        <v>0</v>
      </c>
      <c r="AM41" s="172">
        <f t="shared" si="20"/>
        <v>0</v>
      </c>
    </row>
    <row r="42" spans="1:39" ht="15.75" thickTop="1" thickBot="1">
      <c r="I42" s="7"/>
      <c r="K42" s="169">
        <f t="shared" si="0"/>
        <v>0</v>
      </c>
      <c r="L42" s="169">
        <f t="shared" ref="L42:N42" si="32">K42*$K$1</f>
        <v>0</v>
      </c>
      <c r="M42" s="169">
        <f t="shared" si="32"/>
        <v>0</v>
      </c>
      <c r="N42" s="169">
        <f t="shared" si="32"/>
        <v>0</v>
      </c>
      <c r="P42" s="172">
        <f t="shared" si="2"/>
        <v>0</v>
      </c>
      <c r="Q42" s="172">
        <f t="shared" si="21"/>
        <v>0</v>
      </c>
      <c r="R42" s="172">
        <f t="shared" si="3"/>
        <v>0</v>
      </c>
      <c r="S42" s="172">
        <f t="shared" si="4"/>
        <v>0</v>
      </c>
      <c r="U42" s="172">
        <f t="shared" si="5"/>
        <v>0</v>
      </c>
      <c r="V42" s="172">
        <f t="shared" si="6"/>
        <v>0</v>
      </c>
      <c r="W42" s="172">
        <f t="shared" si="7"/>
        <v>0</v>
      </c>
      <c r="X42" s="172">
        <f t="shared" si="8"/>
        <v>0</v>
      </c>
      <c r="Z42" s="172">
        <f t="shared" si="9"/>
        <v>0</v>
      </c>
      <c r="AA42" s="172">
        <f t="shared" si="10"/>
        <v>0</v>
      </c>
      <c r="AB42" s="172">
        <f t="shared" si="11"/>
        <v>0</v>
      </c>
      <c r="AC42" s="172">
        <f t="shared" si="12"/>
        <v>0</v>
      </c>
      <c r="AE42" s="172">
        <f t="shared" si="13"/>
        <v>0</v>
      </c>
      <c r="AF42" s="172">
        <f t="shared" si="14"/>
        <v>0</v>
      </c>
      <c r="AG42" s="172">
        <f t="shared" si="15"/>
        <v>0</v>
      </c>
      <c r="AH42" s="172">
        <f t="shared" si="16"/>
        <v>0</v>
      </c>
      <c r="AJ42" s="172">
        <f t="shared" si="17"/>
        <v>0</v>
      </c>
      <c r="AK42" s="172">
        <f t="shared" si="18"/>
        <v>0</v>
      </c>
      <c r="AL42" s="172">
        <f t="shared" si="19"/>
        <v>0</v>
      </c>
      <c r="AM42" s="172">
        <f t="shared" si="20"/>
        <v>0</v>
      </c>
    </row>
    <row r="43" spans="1:39" ht="15.75" thickTop="1" thickBot="1">
      <c r="I43" s="7">
        <f>SUM(I2:I42)</f>
        <v>430000</v>
      </c>
      <c r="K43" s="169">
        <f>SUM(K2:K42)</f>
        <v>442900</v>
      </c>
      <c r="L43" s="169">
        <f>SUM(L2:L42)</f>
        <v>456186.99999999994</v>
      </c>
      <c r="M43" s="169">
        <f>SUM(M2:M42)</f>
        <v>469872.61</v>
      </c>
      <c r="N43" s="169">
        <f>SUM(N2:N42)</f>
        <v>483968.7882999999</v>
      </c>
      <c r="P43" s="172">
        <f>SUM(P2:P42)</f>
        <v>9000</v>
      </c>
      <c r="Q43" s="172">
        <f t="shared" ref="Q43:R43" si="33">SUM(Q2:Q42)</f>
        <v>1075</v>
      </c>
      <c r="R43" s="172">
        <f t="shared" si="33"/>
        <v>480</v>
      </c>
      <c r="S43" s="172">
        <f>SUM(S2:S42)</f>
        <v>10555</v>
      </c>
      <c r="U43" s="172">
        <f>SUM(U2:U42)</f>
        <v>9000</v>
      </c>
      <c r="V43" s="172">
        <f t="shared" ref="V43" si="34">SUM(V2:V42)</f>
        <v>1107.25</v>
      </c>
      <c r="W43" s="172">
        <f t="shared" ref="W43" si="35">SUM(W2:W42)</f>
        <v>480</v>
      </c>
      <c r="X43" s="172">
        <f t="shared" ref="X43" si="36">SUM(X2:X42)</f>
        <v>10587.249999999998</v>
      </c>
      <c r="Z43" s="172">
        <f>SUM(Z2:Z42)</f>
        <v>9000</v>
      </c>
      <c r="AA43" s="172">
        <f t="shared" ref="AA43" si="37">SUM(AA2:AA42)</f>
        <v>1140.4675000000002</v>
      </c>
      <c r="AB43" s="172">
        <f t="shared" ref="AB43" si="38">SUM(AB2:AB42)</f>
        <v>600</v>
      </c>
      <c r="AC43" s="172">
        <f>SUM(AC2:AC42)</f>
        <v>10740.467500000001</v>
      </c>
      <c r="AE43" s="172">
        <f>SUM(AE2:AE42)</f>
        <v>9000</v>
      </c>
      <c r="AF43" s="172">
        <f t="shared" ref="AF43" si="39">SUM(AF2:AF42)</f>
        <v>1174.681525</v>
      </c>
      <c r="AG43" s="172">
        <f t="shared" ref="AG43" si="40">SUM(AG2:AG42)</f>
        <v>600</v>
      </c>
      <c r="AH43" s="172">
        <f t="shared" ref="AH43" si="41">SUM(AH2:AH42)</f>
        <v>10774.681525</v>
      </c>
      <c r="AJ43" s="172">
        <f>SUM(AJ2:AJ42)</f>
        <v>9000</v>
      </c>
      <c r="AK43" s="172">
        <f t="shared" ref="AK43" si="42">SUM(AK2:AK42)</f>
        <v>1209.9219707500001</v>
      </c>
      <c r="AL43" s="172">
        <f t="shared" ref="AL43" si="43">SUM(AL2:AL42)</f>
        <v>600</v>
      </c>
      <c r="AM43" s="172">
        <f t="shared" ref="AM43" si="44">SUM(AM2:AM42)</f>
        <v>10809.92197075</v>
      </c>
    </row>
    <row r="44" spans="1:39" ht="15" thickTop="1">
      <c r="I44" s="7">
        <v>1</v>
      </c>
      <c r="K44">
        <v>2</v>
      </c>
      <c r="L44">
        <v>3</v>
      </c>
      <c r="M44">
        <v>4</v>
      </c>
      <c r="N44">
        <v>5</v>
      </c>
      <c r="P44" s="171">
        <v>0.05</v>
      </c>
      <c r="Q44" s="171">
        <v>2.5000000000000001E-3</v>
      </c>
      <c r="R44" s="171">
        <v>2E-3</v>
      </c>
      <c r="S44" s="170"/>
      <c r="U44" s="171">
        <v>0.05</v>
      </c>
      <c r="V44" s="171">
        <v>2.5000000000000001E-3</v>
      </c>
      <c r="W44" s="171">
        <v>2E-3</v>
      </c>
      <c r="X44" s="170"/>
      <c r="Z44" s="171">
        <v>0.05</v>
      </c>
      <c r="AA44" s="171">
        <v>2.5000000000000001E-3</v>
      </c>
      <c r="AB44" s="171">
        <v>2.5000000000000001E-3</v>
      </c>
      <c r="AC44" s="170"/>
      <c r="AE44" s="171">
        <v>0.05</v>
      </c>
      <c r="AF44" s="171">
        <v>2.5000000000000001E-3</v>
      </c>
      <c r="AG44" s="171">
        <v>2.5000000000000001E-3</v>
      </c>
      <c r="AH44" s="170"/>
      <c r="AJ44" s="171">
        <v>0.05</v>
      </c>
      <c r="AK44" s="171">
        <v>2.5000000000000001E-3</v>
      </c>
      <c r="AL44" s="171">
        <v>2.5000000000000001E-3</v>
      </c>
      <c r="AM44" s="170"/>
    </row>
    <row r="45" spans="1:39">
      <c r="K45" s="8"/>
      <c r="L45" s="8"/>
      <c r="P45" s="244">
        <v>1</v>
      </c>
      <c r="Q45" s="244"/>
      <c r="R45" s="244"/>
      <c r="S45" s="244"/>
      <c r="U45" s="244">
        <v>2</v>
      </c>
      <c r="V45" s="244"/>
      <c r="W45" s="244"/>
      <c r="X45" s="244"/>
      <c r="Z45" s="244">
        <v>3</v>
      </c>
      <c r="AA45" s="244"/>
      <c r="AB45" s="244"/>
      <c r="AC45" s="244"/>
      <c r="AE45" s="244">
        <v>4</v>
      </c>
      <c r="AF45" s="244"/>
      <c r="AG45" s="244"/>
      <c r="AH45" s="244"/>
      <c r="AJ45" s="244">
        <v>5</v>
      </c>
      <c r="AK45" s="244"/>
      <c r="AL45" s="244"/>
      <c r="AM45" s="244"/>
    </row>
    <row r="47" spans="1:39">
      <c r="F47" s="161" t="s">
        <v>19</v>
      </c>
      <c r="G47" s="161" t="s">
        <v>20</v>
      </c>
      <c r="H47" s="161" t="s">
        <v>1</v>
      </c>
      <c r="I47" s="161" t="s">
        <v>72</v>
      </c>
      <c r="K47" s="161" t="s">
        <v>19</v>
      </c>
      <c r="L47" s="161" t="s">
        <v>20</v>
      </c>
      <c r="M47" s="161" t="s">
        <v>1</v>
      </c>
      <c r="N47" s="161" t="s">
        <v>21</v>
      </c>
    </row>
    <row r="48" spans="1:39">
      <c r="F48" s="161">
        <v>1</v>
      </c>
      <c r="G48" s="161" t="s">
        <v>29</v>
      </c>
      <c r="H48" s="161" t="s">
        <v>30</v>
      </c>
      <c r="I48" s="162">
        <v>100000</v>
      </c>
      <c r="K48" s="161">
        <v>1</v>
      </c>
      <c r="L48" s="161" t="s">
        <v>73</v>
      </c>
      <c r="M48" s="161" t="s">
        <v>74</v>
      </c>
      <c r="N48" s="162">
        <v>60000</v>
      </c>
    </row>
    <row r="49" spans="6:14">
      <c r="F49" s="161">
        <v>2</v>
      </c>
      <c r="G49" s="161" t="s">
        <v>33</v>
      </c>
      <c r="H49" s="161" t="s">
        <v>34</v>
      </c>
      <c r="I49" s="162">
        <v>50000</v>
      </c>
      <c r="K49" s="161">
        <v>2</v>
      </c>
      <c r="L49" s="161" t="s">
        <v>73</v>
      </c>
      <c r="M49" s="161" t="s">
        <v>30</v>
      </c>
      <c r="N49" s="162">
        <v>100000</v>
      </c>
    </row>
    <row r="50" spans="6:14">
      <c r="F50" s="161">
        <v>3</v>
      </c>
      <c r="G50" s="161" t="s">
        <v>33</v>
      </c>
      <c r="H50" s="161" t="s">
        <v>75</v>
      </c>
      <c r="I50" s="162">
        <v>40000</v>
      </c>
      <c r="K50" s="161">
        <v>3</v>
      </c>
      <c r="L50" s="161" t="s">
        <v>73</v>
      </c>
      <c r="M50" s="161" t="s">
        <v>76</v>
      </c>
      <c r="N50" s="162">
        <v>60000</v>
      </c>
    </row>
    <row r="51" spans="6:14">
      <c r="F51" s="161">
        <v>4</v>
      </c>
      <c r="G51" s="161" t="s">
        <v>33</v>
      </c>
      <c r="H51" s="161" t="s">
        <v>77</v>
      </c>
      <c r="I51" s="162">
        <v>35000</v>
      </c>
      <c r="K51" s="161">
        <v>4</v>
      </c>
      <c r="L51" s="161" t="s">
        <v>73</v>
      </c>
      <c r="M51" s="161" t="s">
        <v>78</v>
      </c>
      <c r="N51" s="162">
        <v>60000</v>
      </c>
    </row>
    <row r="52" spans="6:14">
      <c r="F52" s="161">
        <v>5</v>
      </c>
      <c r="G52" s="161" t="s">
        <v>33</v>
      </c>
      <c r="H52" s="161" t="s">
        <v>79</v>
      </c>
      <c r="I52" s="162">
        <v>20000</v>
      </c>
      <c r="K52" s="161">
        <v>5</v>
      </c>
      <c r="L52" s="161" t="s">
        <v>73</v>
      </c>
      <c r="M52" s="161" t="s">
        <v>80</v>
      </c>
      <c r="N52" s="162">
        <v>60000</v>
      </c>
    </row>
    <row r="53" spans="6:14">
      <c r="F53" s="161">
        <v>6</v>
      </c>
      <c r="G53" s="161" t="s">
        <v>33</v>
      </c>
      <c r="H53" s="161" t="s">
        <v>81</v>
      </c>
      <c r="I53" s="162">
        <v>20000</v>
      </c>
      <c r="K53" s="161">
        <v>6</v>
      </c>
      <c r="L53" s="161" t="s">
        <v>33</v>
      </c>
      <c r="M53" s="161" t="s">
        <v>34</v>
      </c>
      <c r="N53" s="162">
        <v>50000</v>
      </c>
    </row>
    <row r="54" spans="6:14">
      <c r="F54" s="161">
        <v>7</v>
      </c>
      <c r="G54" s="161" t="s">
        <v>33</v>
      </c>
      <c r="H54" s="161" t="s">
        <v>82</v>
      </c>
      <c r="I54" s="162">
        <v>20000</v>
      </c>
      <c r="K54" s="161">
        <v>7</v>
      </c>
      <c r="L54" s="161" t="s">
        <v>33</v>
      </c>
      <c r="M54" s="161" t="s">
        <v>37</v>
      </c>
      <c r="N54" s="162">
        <v>40000</v>
      </c>
    </row>
    <row r="55" spans="6:14">
      <c r="F55" s="161">
        <v>8</v>
      </c>
      <c r="G55" s="161" t="s">
        <v>33</v>
      </c>
      <c r="H55" s="161" t="s">
        <v>83</v>
      </c>
      <c r="I55" s="162">
        <v>22000</v>
      </c>
      <c r="K55" s="161">
        <v>8</v>
      </c>
      <c r="L55" s="161" t="s">
        <v>33</v>
      </c>
      <c r="M55" s="161" t="s">
        <v>84</v>
      </c>
      <c r="N55" s="162">
        <v>40000</v>
      </c>
    </row>
    <row r="56" spans="6:14">
      <c r="F56" s="161">
        <v>9</v>
      </c>
      <c r="G56" s="161" t="s">
        <v>40</v>
      </c>
      <c r="H56" s="161" t="s">
        <v>85</v>
      </c>
      <c r="I56" s="162">
        <v>45000</v>
      </c>
      <c r="K56" s="161">
        <v>9</v>
      </c>
      <c r="L56" s="161" t="s">
        <v>33</v>
      </c>
      <c r="M56" s="161" t="s">
        <v>86</v>
      </c>
      <c r="N56" s="162">
        <v>40000</v>
      </c>
    </row>
    <row r="57" spans="6:14">
      <c r="F57" s="161">
        <v>10</v>
      </c>
      <c r="G57" s="161" t="s">
        <v>40</v>
      </c>
      <c r="H57" s="161" t="s">
        <v>44</v>
      </c>
      <c r="I57" s="162">
        <v>22000</v>
      </c>
      <c r="K57" s="161">
        <v>10</v>
      </c>
      <c r="L57" s="161" t="s">
        <v>33</v>
      </c>
      <c r="M57" s="161" t="s">
        <v>87</v>
      </c>
      <c r="N57" s="162">
        <v>40000</v>
      </c>
    </row>
    <row r="58" spans="6:14">
      <c r="F58" s="161">
        <v>11</v>
      </c>
      <c r="G58" s="161" t="s">
        <v>40</v>
      </c>
      <c r="H58" s="161" t="s">
        <v>47</v>
      </c>
      <c r="I58" s="162">
        <v>22000</v>
      </c>
      <c r="K58" s="161">
        <v>11</v>
      </c>
      <c r="L58" s="161" t="s">
        <v>33</v>
      </c>
      <c r="M58" s="161" t="s">
        <v>88</v>
      </c>
      <c r="N58" s="162">
        <v>30000</v>
      </c>
    </row>
    <row r="59" spans="6:14">
      <c r="F59" s="161">
        <v>12</v>
      </c>
      <c r="G59" s="161" t="s">
        <v>40</v>
      </c>
      <c r="H59" s="161" t="s">
        <v>89</v>
      </c>
      <c r="I59" s="162">
        <v>20000</v>
      </c>
      <c r="K59" s="161">
        <v>12</v>
      </c>
      <c r="L59" s="161" t="s">
        <v>33</v>
      </c>
      <c r="M59" s="161" t="s">
        <v>90</v>
      </c>
      <c r="N59" s="162">
        <v>30000</v>
      </c>
    </row>
    <row r="60" spans="6:14">
      <c r="F60" s="161">
        <v>13</v>
      </c>
      <c r="G60" s="161" t="s">
        <v>59</v>
      </c>
      <c r="H60" s="161" t="s">
        <v>91</v>
      </c>
      <c r="I60" s="162">
        <v>25000</v>
      </c>
      <c r="K60" s="161">
        <v>13</v>
      </c>
      <c r="L60" s="161" t="s">
        <v>33</v>
      </c>
      <c r="M60" s="161" t="s">
        <v>92</v>
      </c>
      <c r="N60" s="162">
        <v>20000</v>
      </c>
    </row>
    <row r="61" spans="6:14">
      <c r="F61" s="161">
        <v>14</v>
      </c>
      <c r="G61" s="161" t="s">
        <v>61</v>
      </c>
      <c r="H61" s="161" t="s">
        <v>93</v>
      </c>
      <c r="I61" s="162">
        <v>22000</v>
      </c>
      <c r="K61" s="161">
        <v>14</v>
      </c>
      <c r="L61" s="161" t="s">
        <v>33</v>
      </c>
      <c r="M61" s="161" t="s">
        <v>94</v>
      </c>
      <c r="N61" s="162">
        <v>20000</v>
      </c>
    </row>
    <row r="62" spans="6:14">
      <c r="F62" s="161" t="s">
        <v>95</v>
      </c>
      <c r="G62" s="161"/>
      <c r="H62" s="161"/>
      <c r="I62" s="162">
        <f>SUM(I48:I61)</f>
        <v>463000</v>
      </c>
      <c r="K62" s="161">
        <v>15</v>
      </c>
      <c r="L62" s="161" t="s">
        <v>33</v>
      </c>
      <c r="M62" s="161" t="s">
        <v>96</v>
      </c>
      <c r="N62" s="162">
        <v>20000</v>
      </c>
    </row>
    <row r="63" spans="6:14">
      <c r="K63" s="161">
        <v>16</v>
      </c>
      <c r="L63" s="161" t="s">
        <v>33</v>
      </c>
      <c r="M63" s="161" t="s">
        <v>97</v>
      </c>
      <c r="N63" s="162">
        <v>20000</v>
      </c>
    </row>
    <row r="64" spans="6:14">
      <c r="K64" s="161">
        <v>17</v>
      </c>
      <c r="L64" s="161" t="s">
        <v>33</v>
      </c>
      <c r="M64" s="161" t="s">
        <v>98</v>
      </c>
      <c r="N64" s="162">
        <v>20000</v>
      </c>
    </row>
    <row r="65" spans="3:14">
      <c r="F65" s="161" t="s">
        <v>19</v>
      </c>
      <c r="G65" s="161" t="s">
        <v>20</v>
      </c>
      <c r="H65" s="161" t="s">
        <v>1</v>
      </c>
      <c r="I65" s="161" t="s">
        <v>72</v>
      </c>
      <c r="K65" s="161">
        <v>18</v>
      </c>
      <c r="L65" s="161" t="s">
        <v>33</v>
      </c>
      <c r="M65" s="161" t="s">
        <v>99</v>
      </c>
      <c r="N65" s="162">
        <v>20000</v>
      </c>
    </row>
    <row r="66" spans="3:14">
      <c r="F66" s="161">
        <v>1</v>
      </c>
      <c r="G66" s="161" t="s">
        <v>29</v>
      </c>
      <c r="H66" s="161" t="s">
        <v>30</v>
      </c>
      <c r="I66" s="162">
        <v>100000</v>
      </c>
      <c r="K66" s="161">
        <v>19</v>
      </c>
      <c r="L66" s="161" t="s">
        <v>33</v>
      </c>
      <c r="M66" s="161" t="s">
        <v>100</v>
      </c>
      <c r="N66" s="162">
        <v>20000</v>
      </c>
    </row>
    <row r="67" spans="3:14">
      <c r="F67" s="161">
        <v>2</v>
      </c>
      <c r="G67" s="161" t="s">
        <v>33</v>
      </c>
      <c r="H67" s="161" t="s">
        <v>34</v>
      </c>
      <c r="I67" s="162">
        <v>50000</v>
      </c>
      <c r="K67" s="161">
        <v>20</v>
      </c>
      <c r="L67" s="161" t="s">
        <v>33</v>
      </c>
      <c r="M67" s="161" t="s">
        <v>101</v>
      </c>
      <c r="N67" s="162">
        <v>20000</v>
      </c>
    </row>
    <row r="68" spans="3:14">
      <c r="F68" s="161">
        <v>3</v>
      </c>
      <c r="G68" s="161" t="s">
        <v>33</v>
      </c>
      <c r="H68" s="161" t="s">
        <v>37</v>
      </c>
      <c r="I68" s="162">
        <v>40000</v>
      </c>
      <c r="K68" s="161">
        <v>21</v>
      </c>
      <c r="L68" s="161" t="s">
        <v>33</v>
      </c>
      <c r="M68" s="161" t="s">
        <v>102</v>
      </c>
      <c r="N68" s="162">
        <v>22000</v>
      </c>
    </row>
    <row r="69" spans="3:14">
      <c r="F69" s="161">
        <v>4</v>
      </c>
      <c r="G69" s="161" t="s">
        <v>33</v>
      </c>
      <c r="H69" s="161" t="s">
        <v>84</v>
      </c>
      <c r="I69" s="162">
        <v>40000</v>
      </c>
      <c r="K69" s="161">
        <v>22</v>
      </c>
      <c r="L69" s="161" t="s">
        <v>33</v>
      </c>
      <c r="M69" s="161" t="s">
        <v>103</v>
      </c>
      <c r="N69" s="162">
        <v>22000</v>
      </c>
    </row>
    <row r="70" spans="3:14">
      <c r="C70" s="6"/>
      <c r="F70" s="161">
        <v>5</v>
      </c>
      <c r="G70" s="161" t="s">
        <v>33</v>
      </c>
      <c r="H70" s="161" t="s">
        <v>77</v>
      </c>
      <c r="I70" s="162">
        <v>40000</v>
      </c>
      <c r="K70" s="161">
        <v>23</v>
      </c>
      <c r="L70" s="161" t="s">
        <v>33</v>
      </c>
      <c r="M70" s="161" t="s">
        <v>104</v>
      </c>
      <c r="N70" s="162">
        <v>22000</v>
      </c>
    </row>
    <row r="71" spans="3:14">
      <c r="F71" s="161">
        <v>6</v>
      </c>
      <c r="G71" s="161" t="s">
        <v>33</v>
      </c>
      <c r="H71" s="161" t="s">
        <v>79</v>
      </c>
      <c r="I71" s="162">
        <v>20000</v>
      </c>
      <c r="K71" s="161">
        <v>24</v>
      </c>
      <c r="L71" s="161" t="s">
        <v>40</v>
      </c>
      <c r="M71" s="161" t="s">
        <v>41</v>
      </c>
      <c r="N71" s="162">
        <v>45000</v>
      </c>
    </row>
    <row r="72" spans="3:14">
      <c r="F72" s="161">
        <v>7</v>
      </c>
      <c r="G72" s="161" t="s">
        <v>33</v>
      </c>
      <c r="H72" s="161" t="s">
        <v>81</v>
      </c>
      <c r="I72" s="162">
        <v>20000</v>
      </c>
      <c r="K72" s="161">
        <v>25</v>
      </c>
      <c r="L72" s="161" t="s">
        <v>40</v>
      </c>
      <c r="M72" s="161" t="s">
        <v>105</v>
      </c>
      <c r="N72" s="162">
        <v>25000</v>
      </c>
    </row>
    <row r="73" spans="3:14">
      <c r="F73" s="161">
        <v>8</v>
      </c>
      <c r="G73" s="161" t="s">
        <v>33</v>
      </c>
      <c r="H73" s="161" t="s">
        <v>82</v>
      </c>
      <c r="I73" s="162">
        <v>20000</v>
      </c>
      <c r="K73" s="161">
        <v>26</v>
      </c>
      <c r="L73" s="161" t="s">
        <v>40</v>
      </c>
      <c r="M73" s="161" t="s">
        <v>106</v>
      </c>
      <c r="N73" s="162">
        <v>25000</v>
      </c>
    </row>
    <row r="74" spans="3:14">
      <c r="F74" s="161">
        <v>9</v>
      </c>
      <c r="G74" s="161" t="s">
        <v>33</v>
      </c>
      <c r="H74" s="161" t="s">
        <v>107</v>
      </c>
      <c r="I74" s="162">
        <v>20000</v>
      </c>
      <c r="K74" s="161">
        <v>27</v>
      </c>
      <c r="L74" s="161" t="s">
        <v>40</v>
      </c>
      <c r="M74" s="161" t="s">
        <v>44</v>
      </c>
      <c r="N74" s="162">
        <v>22000</v>
      </c>
    </row>
    <row r="75" spans="3:14">
      <c r="F75" s="161">
        <v>10</v>
      </c>
      <c r="G75" s="161" t="s">
        <v>33</v>
      </c>
      <c r="H75" s="161" t="s">
        <v>108</v>
      </c>
      <c r="I75" s="162">
        <v>20000</v>
      </c>
      <c r="K75" s="161">
        <v>28</v>
      </c>
      <c r="L75" s="161" t="s">
        <v>40</v>
      </c>
      <c r="M75" s="161" t="s">
        <v>47</v>
      </c>
      <c r="N75" s="162">
        <v>22000</v>
      </c>
    </row>
    <row r="76" spans="3:14">
      <c r="F76" s="161">
        <v>11</v>
      </c>
      <c r="G76" s="161" t="s">
        <v>33</v>
      </c>
      <c r="H76" s="161" t="s">
        <v>109</v>
      </c>
      <c r="I76" s="162">
        <v>20000</v>
      </c>
      <c r="K76" s="161">
        <v>29</v>
      </c>
      <c r="L76" s="161" t="s">
        <v>40</v>
      </c>
      <c r="M76" s="161" t="s">
        <v>50</v>
      </c>
      <c r="N76" s="162">
        <v>22000</v>
      </c>
    </row>
    <row r="77" spans="3:14">
      <c r="F77" s="161">
        <v>12</v>
      </c>
      <c r="G77" s="161" t="s">
        <v>33</v>
      </c>
      <c r="H77" s="161" t="s">
        <v>102</v>
      </c>
      <c r="I77" s="162">
        <v>22000</v>
      </c>
      <c r="K77" s="161">
        <v>30</v>
      </c>
      <c r="L77" s="161" t="s">
        <v>40</v>
      </c>
      <c r="M77" s="161" t="s">
        <v>53</v>
      </c>
      <c r="N77" s="162">
        <v>22000</v>
      </c>
    </row>
    <row r="78" spans="3:14">
      <c r="F78" s="161">
        <v>13</v>
      </c>
      <c r="G78" s="161" t="s">
        <v>33</v>
      </c>
      <c r="H78" s="161" t="s">
        <v>103</v>
      </c>
      <c r="I78" s="162">
        <v>22000</v>
      </c>
      <c r="K78" s="161">
        <v>31</v>
      </c>
      <c r="L78" s="161" t="s">
        <v>40</v>
      </c>
      <c r="M78" s="161" t="s">
        <v>56</v>
      </c>
      <c r="N78" s="162">
        <v>20000</v>
      </c>
    </row>
    <row r="79" spans="3:14">
      <c r="F79" s="161">
        <v>14</v>
      </c>
      <c r="G79" s="161" t="s">
        <v>40</v>
      </c>
      <c r="H79" s="161" t="s">
        <v>41</v>
      </c>
      <c r="I79" s="162">
        <v>45000</v>
      </c>
      <c r="K79" s="161">
        <v>32</v>
      </c>
      <c r="L79" s="161" t="s">
        <v>40</v>
      </c>
      <c r="M79" s="161" t="s">
        <v>57</v>
      </c>
      <c r="N79" s="162">
        <v>20000</v>
      </c>
    </row>
    <row r="80" spans="3:14">
      <c r="C80" s="2"/>
      <c r="D80" s="2"/>
      <c r="F80" s="161">
        <v>15</v>
      </c>
      <c r="G80" s="161" t="s">
        <v>40</v>
      </c>
      <c r="H80" s="161" t="s">
        <v>44</v>
      </c>
      <c r="I80" s="162">
        <v>22000</v>
      </c>
      <c r="K80" s="161">
        <v>33</v>
      </c>
      <c r="L80" s="161" t="s">
        <v>110</v>
      </c>
      <c r="M80" s="161" t="s">
        <v>111</v>
      </c>
      <c r="N80" s="162">
        <v>45000</v>
      </c>
    </row>
    <row r="81" spans="3:14">
      <c r="C81" s="2"/>
      <c r="D81" s="2"/>
      <c r="F81" s="161">
        <v>16</v>
      </c>
      <c r="G81" s="161" t="s">
        <v>40</v>
      </c>
      <c r="H81" s="161" t="s">
        <v>47</v>
      </c>
      <c r="I81" s="162">
        <v>22000</v>
      </c>
      <c r="K81" s="161">
        <v>34</v>
      </c>
      <c r="L81" s="161" t="s">
        <v>110</v>
      </c>
      <c r="M81" s="161" t="s">
        <v>112</v>
      </c>
      <c r="N81" s="162">
        <v>25000</v>
      </c>
    </row>
    <row r="82" spans="3:14">
      <c r="C82" s="2"/>
      <c r="D82" s="2"/>
      <c r="F82" s="161">
        <v>17</v>
      </c>
      <c r="G82" s="161" t="s">
        <v>40</v>
      </c>
      <c r="H82" s="161" t="s">
        <v>50</v>
      </c>
      <c r="I82" s="162">
        <v>22000</v>
      </c>
      <c r="K82" s="161">
        <v>35</v>
      </c>
      <c r="L82" s="161" t="s">
        <v>110</v>
      </c>
      <c r="M82" s="161" t="s">
        <v>113</v>
      </c>
      <c r="N82" s="162">
        <v>25000</v>
      </c>
    </row>
    <row r="83" spans="3:14">
      <c r="C83" s="2"/>
      <c r="D83" s="2"/>
      <c r="F83" s="161">
        <v>18</v>
      </c>
      <c r="G83" s="161" t="s">
        <v>40</v>
      </c>
      <c r="H83" s="161" t="s">
        <v>53</v>
      </c>
      <c r="I83" s="162">
        <v>22000</v>
      </c>
      <c r="K83" s="161">
        <v>36</v>
      </c>
      <c r="L83" s="161" t="s">
        <v>110</v>
      </c>
      <c r="M83" s="161" t="s">
        <v>114</v>
      </c>
      <c r="N83" s="162">
        <v>22000</v>
      </c>
    </row>
    <row r="84" spans="3:14">
      <c r="C84" s="2"/>
      <c r="D84" s="2"/>
      <c r="F84" s="161">
        <v>19</v>
      </c>
      <c r="G84" s="161" t="s">
        <v>40</v>
      </c>
      <c r="H84" s="161" t="s">
        <v>56</v>
      </c>
      <c r="I84" s="162">
        <v>20000</v>
      </c>
      <c r="K84" s="161">
        <v>37</v>
      </c>
      <c r="L84" s="161" t="s">
        <v>110</v>
      </c>
      <c r="M84" s="161" t="s">
        <v>115</v>
      </c>
      <c r="N84" s="162">
        <v>22000</v>
      </c>
    </row>
    <row r="85" spans="3:14">
      <c r="C85" s="2"/>
      <c r="D85" s="2"/>
      <c r="F85" s="161">
        <v>20</v>
      </c>
      <c r="G85" s="161" t="s">
        <v>40</v>
      </c>
      <c r="H85" s="161" t="s">
        <v>57</v>
      </c>
      <c r="I85" s="162">
        <v>20000</v>
      </c>
      <c r="K85" s="161">
        <v>38</v>
      </c>
      <c r="L85" s="161" t="s">
        <v>110</v>
      </c>
      <c r="M85" s="161" t="s">
        <v>116</v>
      </c>
      <c r="N85" s="162">
        <v>45000</v>
      </c>
    </row>
    <row r="86" spans="3:14">
      <c r="C86" s="2"/>
      <c r="D86" s="2"/>
      <c r="F86" s="161">
        <v>21</v>
      </c>
      <c r="G86" s="161" t="s">
        <v>59</v>
      </c>
      <c r="H86" s="161" t="s">
        <v>60</v>
      </c>
      <c r="I86" s="162">
        <v>45000</v>
      </c>
      <c r="K86" s="161">
        <v>39</v>
      </c>
      <c r="L86" s="161" t="s">
        <v>61</v>
      </c>
      <c r="M86" s="161" t="s">
        <v>117</v>
      </c>
      <c r="N86" s="162">
        <v>40000</v>
      </c>
    </row>
    <row r="87" spans="3:14">
      <c r="C87" s="2"/>
      <c r="D87" s="2"/>
      <c r="F87" s="161">
        <v>22</v>
      </c>
      <c r="G87" s="161" t="s">
        <v>61</v>
      </c>
      <c r="H87" s="161" t="s">
        <v>62</v>
      </c>
      <c r="I87" s="162">
        <v>22000</v>
      </c>
      <c r="K87" s="161">
        <v>40</v>
      </c>
      <c r="L87" s="161" t="s">
        <v>61</v>
      </c>
      <c r="M87" s="161" t="s">
        <v>118</v>
      </c>
      <c r="N87" s="162">
        <v>22000</v>
      </c>
    </row>
    <row r="88" spans="3:14">
      <c r="C88" s="2"/>
      <c r="D88" s="2"/>
      <c r="F88" s="161" t="s">
        <v>95</v>
      </c>
      <c r="G88" s="161"/>
      <c r="H88" s="161"/>
      <c r="I88" s="162">
        <v>674000</v>
      </c>
      <c r="K88" s="161">
        <v>41</v>
      </c>
      <c r="L88" s="161" t="s">
        <v>61</v>
      </c>
      <c r="M88" s="161" t="s">
        <v>119</v>
      </c>
      <c r="N88" s="162">
        <v>25000</v>
      </c>
    </row>
    <row r="89" spans="3:14">
      <c r="C89" s="2"/>
      <c r="D89" s="2"/>
      <c r="K89" s="161"/>
      <c r="L89" s="161"/>
      <c r="M89" s="161"/>
      <c r="N89" s="162">
        <f>SUM(N48:N88)</f>
        <v>1330000</v>
      </c>
    </row>
    <row r="90" spans="3:14">
      <c r="C90" s="2"/>
      <c r="D90" s="2"/>
    </row>
    <row r="91" spans="3:14">
      <c r="C91" s="2"/>
      <c r="D91" s="2"/>
    </row>
    <row r="92" spans="3:14">
      <c r="C92" s="2"/>
      <c r="D92" s="2"/>
    </row>
    <row r="96" spans="3:14">
      <c r="C96" s="2"/>
      <c r="D96" s="2"/>
    </row>
    <row r="97" spans="3:4">
      <c r="C97" s="2"/>
      <c r="D97" s="2"/>
    </row>
    <row r="98" spans="3:4">
      <c r="C98" s="2"/>
      <c r="D98" s="2"/>
    </row>
    <row r="99" spans="3:4">
      <c r="C99" s="2"/>
      <c r="D99" s="2"/>
    </row>
    <row r="100" spans="3:4">
      <c r="C100" s="2"/>
      <c r="D100" s="2"/>
    </row>
    <row r="101" spans="3:4">
      <c r="C101" s="2"/>
      <c r="D101" s="2"/>
    </row>
    <row r="102" spans="3:4">
      <c r="C102" s="2"/>
      <c r="D102" s="2"/>
    </row>
    <row r="103" spans="3:4">
      <c r="C103" s="2"/>
      <c r="D103" s="2"/>
    </row>
    <row r="104" spans="3:4">
      <c r="C104" s="2"/>
      <c r="D104" s="2"/>
    </row>
    <row r="105" spans="3:4">
      <c r="C105" s="2"/>
      <c r="D105" s="2"/>
    </row>
    <row r="106" spans="3:4">
      <c r="C106" s="2"/>
      <c r="D106" s="2"/>
    </row>
    <row r="107" spans="3:4">
      <c r="C107" s="2"/>
      <c r="D107" s="2"/>
    </row>
    <row r="108" spans="3:4">
      <c r="C108" s="2"/>
      <c r="D108" s="2"/>
    </row>
    <row r="109" spans="3:4">
      <c r="C109" s="2"/>
      <c r="D109" s="2"/>
    </row>
    <row r="110" spans="3:4">
      <c r="C110" s="2"/>
      <c r="D110" s="2"/>
    </row>
  </sheetData>
  <mergeCells count="5">
    <mergeCell ref="P45:S45"/>
    <mergeCell ref="U45:X45"/>
    <mergeCell ref="Z45:AC45"/>
    <mergeCell ref="AE45:AH45"/>
    <mergeCell ref="AJ45:AM4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35365-CE51-4671-9D50-2F9798A3B39B}">
  <dimension ref="A1:G24"/>
  <sheetViews>
    <sheetView topLeftCell="A3" workbookViewId="0">
      <selection activeCell="A13" sqref="A13"/>
    </sheetView>
  </sheetViews>
  <sheetFormatPr defaultRowHeight="14.25"/>
  <cols>
    <col min="1" max="1" width="54.875" bestFit="1" customWidth="1"/>
    <col min="2" max="6" width="9.875" bestFit="1" customWidth="1"/>
  </cols>
  <sheetData>
    <row r="1" spans="1:7" ht="27">
      <c r="A1" s="44" t="s">
        <v>587</v>
      </c>
      <c r="B1" s="263"/>
      <c r="C1" s="263"/>
      <c r="D1" s="263"/>
      <c r="E1" s="263"/>
      <c r="F1" s="263"/>
      <c r="G1" s="16"/>
    </row>
    <row r="2" spans="1:7" ht="24">
      <c r="A2" s="93" t="s">
        <v>588</v>
      </c>
      <c r="B2" s="143" t="s">
        <v>438</v>
      </c>
      <c r="C2" s="143" t="s">
        <v>439</v>
      </c>
      <c r="D2" s="143" t="s">
        <v>440</v>
      </c>
      <c r="E2" s="143" t="s">
        <v>441</v>
      </c>
      <c r="F2" s="143" t="s">
        <v>442</v>
      </c>
      <c r="G2" s="16"/>
    </row>
    <row r="3" spans="1:7" ht="24">
      <c r="A3" s="114" t="s">
        <v>589</v>
      </c>
      <c r="B3" s="144"/>
      <c r="C3" s="144"/>
      <c r="D3" s="144"/>
      <c r="E3" s="144"/>
      <c r="F3" s="144"/>
      <c r="G3" s="16"/>
    </row>
    <row r="4" spans="1:7" ht="24">
      <c r="A4" s="22" t="s">
        <v>590</v>
      </c>
      <c r="B4" s="145" t="e">
        <f>งบแสดงฐานะการเงิน!B6/งบแสดงฐานะการเงิน!B14</f>
        <v>#DIV/0!</v>
      </c>
      <c r="C4" s="145" t="e">
        <f>งบแสดงฐานะการเงิน!C6/งบแสดงฐานะการเงิน!C14</f>
        <v>#DIV/0!</v>
      </c>
      <c r="D4" s="145" t="e">
        <f>งบแสดงฐานะการเงิน!D6/งบแสดงฐานะการเงิน!D14</f>
        <v>#DIV/0!</v>
      </c>
      <c r="E4" s="145" t="e">
        <f>งบแสดงฐานะการเงิน!E6/งบแสดงฐานะการเงิน!E14</f>
        <v>#DIV/0!</v>
      </c>
      <c r="F4" s="145" t="e">
        <f>งบแสดงฐานะการเงิน!F6/งบแสดงฐานะการเงิน!F14</f>
        <v>#DIV/0!</v>
      </c>
      <c r="G4" s="16"/>
    </row>
    <row r="5" spans="1:7" ht="24">
      <c r="A5" s="22" t="s">
        <v>591</v>
      </c>
      <c r="B5" s="145" t="e">
        <f>(งบแสดงฐานะการเงิน!B6-งบแสดงฐานะการเงิน!B5)/งบแสดงฐานะการเงิน!B14</f>
        <v>#DIV/0!</v>
      </c>
      <c r="C5" s="145" t="e">
        <f>(งบแสดงฐานะการเงิน!C6-งบแสดงฐานะการเงิน!C5)/งบแสดงฐานะการเงิน!C14</f>
        <v>#DIV/0!</v>
      </c>
      <c r="D5" s="145" t="e">
        <f>(งบแสดงฐานะการเงิน!D6-งบแสดงฐานะการเงิน!D5)/งบแสดงฐานะการเงิน!D14</f>
        <v>#DIV/0!</v>
      </c>
      <c r="E5" s="145" t="e">
        <f>(งบแสดงฐานะการเงิน!E6-งบแสดงฐานะการเงิน!E5)/งบแสดงฐานะการเงิน!E14</f>
        <v>#DIV/0!</v>
      </c>
      <c r="F5" s="145" t="e">
        <f>(งบแสดงฐานะการเงิน!F6-งบแสดงฐานะการเงิน!F5)/งบแสดงฐานะการเงิน!F14</f>
        <v>#DIV/0!</v>
      </c>
      <c r="G5" s="16"/>
    </row>
    <row r="6" spans="1:7" ht="24">
      <c r="A6" s="93" t="s">
        <v>592</v>
      </c>
      <c r="B6" s="146"/>
      <c r="C6" s="146"/>
      <c r="D6" s="146"/>
      <c r="E6" s="146"/>
      <c r="F6" s="146"/>
      <c r="G6" s="16"/>
    </row>
    <row r="7" spans="1:7" ht="24">
      <c r="A7" s="22" t="s">
        <v>593</v>
      </c>
      <c r="B7" s="40">
        <f>งบกำไรขาดทุน!B4/งบแสดงฐานะการเงิน!B5</f>
        <v>3.9724618579758775</v>
      </c>
      <c r="C7" s="40">
        <f>งบกำไรขาดทุน!C4/งบแสดงฐานะการเงิน!C5</f>
        <v>3.9724618579758779</v>
      </c>
      <c r="D7" s="40">
        <f>งบกำไรขาดทุน!D4/งบแสดงฐานะการเงิน!D5</f>
        <v>3.9724618579758775</v>
      </c>
      <c r="E7" s="40">
        <f>งบกำไรขาดทุน!E4/งบแสดงฐานะการเงิน!E5</f>
        <v>3.9724618579758779</v>
      </c>
      <c r="F7" s="40">
        <f>งบกำไรขาดทุน!F4/งบแสดงฐานะการเงิน!F5</f>
        <v>3.9724618579758766</v>
      </c>
      <c r="G7" s="16"/>
    </row>
    <row r="8" spans="1:7" ht="24">
      <c r="A8" s="22" t="s">
        <v>594</v>
      </c>
      <c r="B8" s="145">
        <f t="shared" ref="B8:F8" si="0">360/B7</f>
        <v>90.623903481211499</v>
      </c>
      <c r="C8" s="145">
        <f t="shared" si="0"/>
        <v>90.623903481211485</v>
      </c>
      <c r="D8" s="145">
        <f t="shared" si="0"/>
        <v>90.623903481211499</v>
      </c>
      <c r="E8" s="145">
        <f t="shared" si="0"/>
        <v>90.623903481211485</v>
      </c>
      <c r="F8" s="145">
        <f t="shared" si="0"/>
        <v>90.623903481211514</v>
      </c>
      <c r="G8" s="16"/>
    </row>
    <row r="9" spans="1:7" ht="24">
      <c r="A9" s="22" t="s">
        <v>595</v>
      </c>
      <c r="B9" s="40">
        <f>งบกำไรขาดทุน!B3/งบแสดงฐานะการเงิน!B7</f>
        <v>9.8000174913109462E-3</v>
      </c>
      <c r="C9" s="40">
        <f>งบกำไรขาดทุน!C3/งบแสดงฐานะการเงิน!C7</f>
        <v>1.4031715183877417E-2</v>
      </c>
      <c r="D9" s="40">
        <f>งบกำไรขาดทุน!D3/งบแสดงฐานะการเงิน!D7</f>
        <v>2.2602016789564722E-2</v>
      </c>
      <c r="E9" s="40">
        <f>งบกำไรขาดทุน!E3/งบแสดงฐานะการเงิน!E7</f>
        <v>4.8542524916957541E-2</v>
      </c>
      <c r="F9" s="145">
        <v>0</v>
      </c>
      <c r="G9" s="16"/>
    </row>
    <row r="10" spans="1:7" ht="24">
      <c r="A10" s="22" t="s">
        <v>596</v>
      </c>
      <c r="B10" s="145" t="e">
        <f>งบกำไรขาดทุน!B3/งบแสดงฐานะการเงิน!B10</f>
        <v>#DIV/0!</v>
      </c>
      <c r="C10" s="145" t="e">
        <f>งบกำไรขาดทุน!C3/งบแสดงฐานะการเงิน!C10</f>
        <v>#DIV/0!</v>
      </c>
      <c r="D10" s="145" t="e">
        <f>งบกำไรขาดทุน!D3/งบแสดงฐานะการเงิน!D10</f>
        <v>#DIV/0!</v>
      </c>
      <c r="E10" s="145" t="e">
        <f>งบกำไรขาดทุน!E3/งบแสดงฐานะการเงิน!E10</f>
        <v>#DIV/0!</v>
      </c>
      <c r="F10" s="145" t="e">
        <f>งบกำไรขาดทุน!F3/งบแสดงฐานะการเงิน!F10</f>
        <v>#DIV/0!</v>
      </c>
      <c r="G10" s="16"/>
    </row>
    <row r="11" spans="1:7" ht="24">
      <c r="A11" s="93" t="s">
        <v>597</v>
      </c>
      <c r="B11" s="146"/>
      <c r="C11" s="146"/>
      <c r="D11" s="146"/>
      <c r="E11" s="146"/>
      <c r="F11" s="146"/>
      <c r="G11" s="16"/>
    </row>
    <row r="12" spans="1:7" ht="24">
      <c r="A12" s="22" t="s">
        <v>598</v>
      </c>
      <c r="B12" s="145" t="e">
        <f>งบแสดงฐานะการเงิน!B16/งบแสดงฐานะการเงิน!B19</f>
        <v>#DIV/0!</v>
      </c>
      <c r="C12" s="145" t="e">
        <f>งบแสดงฐานะการเงิน!C16/งบแสดงฐานะการเงิน!C19</f>
        <v>#DIV/0!</v>
      </c>
      <c r="D12" s="145" t="e">
        <f>งบแสดงฐานะการเงิน!D16/งบแสดงฐานะการเงิน!D19</f>
        <v>#DIV/0!</v>
      </c>
      <c r="E12" s="145" t="e">
        <f>งบแสดงฐานะการเงิน!E16/งบแสดงฐานะการเงิน!E19</f>
        <v>#DIV/0!</v>
      </c>
      <c r="F12" s="145" t="e">
        <f>งบแสดงฐานะการเงิน!F16/งบแสดงฐานะการเงิน!F19</f>
        <v>#DIV/0!</v>
      </c>
      <c r="G12" s="16"/>
    </row>
    <row r="13" spans="1:7" ht="24">
      <c r="A13" s="22" t="s">
        <v>599</v>
      </c>
      <c r="B13" s="145" t="e">
        <f>งบกำไรขาดทุน!B7/งบกำไรขาดทุน!B8</f>
        <v>#DIV/0!</v>
      </c>
      <c r="C13" s="145" t="e">
        <f>งบกำไรขาดทุน!C7/งบกำไรขาดทุน!C8</f>
        <v>#DIV/0!</v>
      </c>
      <c r="D13" s="145" t="e">
        <f>งบกำไรขาดทุน!D7/งบกำไรขาดทุน!D8</f>
        <v>#DIV/0!</v>
      </c>
      <c r="E13" s="145" t="e">
        <f>งบกำไรขาดทุน!E7/งบกำไรขาดทุน!E8</f>
        <v>#DIV/0!</v>
      </c>
      <c r="F13" s="145" t="e">
        <f>งบกำไรขาดทุน!F7/งบกำไรขาดทุน!F8</f>
        <v>#DIV/0!</v>
      </c>
      <c r="G13" s="16"/>
    </row>
    <row r="14" spans="1:7" ht="24">
      <c r="A14" s="93" t="s">
        <v>600</v>
      </c>
      <c r="B14" s="146"/>
      <c r="C14" s="146"/>
      <c r="D14" s="146"/>
      <c r="E14" s="146"/>
      <c r="F14" s="146"/>
      <c r="G14" s="16"/>
    </row>
    <row r="15" spans="1:7" ht="24">
      <c r="A15" s="22" t="s">
        <v>601</v>
      </c>
      <c r="B15" s="145" t="e">
        <f>งบกำไรขาดทุน!B11/งบแสดงฐานะการเงิน!B10</f>
        <v>#DIV/0!</v>
      </c>
      <c r="C15" s="145" t="e">
        <f>งบกำไรขาดทุน!C11/งบแสดงฐานะการเงิน!C10</f>
        <v>#DIV/0!</v>
      </c>
      <c r="D15" s="145" t="e">
        <f>งบกำไรขาดทุน!D11/งบแสดงฐานะการเงิน!D10</f>
        <v>#DIV/0!</v>
      </c>
      <c r="E15" s="145" t="e">
        <f>งบกำไรขาดทุน!E11/งบแสดงฐานะการเงิน!E10</f>
        <v>#DIV/0!</v>
      </c>
      <c r="F15" s="145" t="e">
        <f>งบกำไรขาดทุน!F11/งบแสดงฐานะการเงิน!F10</f>
        <v>#DIV/0!</v>
      </c>
      <c r="G15" s="16"/>
    </row>
    <row r="16" spans="1:7" ht="24">
      <c r="A16" s="22" t="s">
        <v>602</v>
      </c>
      <c r="B16" s="145">
        <f>งบกำไรขาดทุน!B11/งบแสดงฐานะการเงิน!B19</f>
        <v>5.5999163078895169</v>
      </c>
      <c r="C16" s="145" t="e">
        <f>งบกำไรขาดทุน!C11/งบแสดงฐานะการเงิน!C19</f>
        <v>#DIV/0!</v>
      </c>
      <c r="D16" s="145" t="e">
        <f>งบกำไรขาดทุน!D11/งบแสดงฐานะการเงิน!D19</f>
        <v>#DIV/0!</v>
      </c>
      <c r="E16" s="145" t="e">
        <f>งบกำไรขาดทุน!E11/งบแสดงฐานะการเงิน!E19</f>
        <v>#DIV/0!</v>
      </c>
      <c r="F16" s="145" t="e">
        <f>งบกำไรขาดทุน!F11/งบแสดงฐานะการเงิน!F19</f>
        <v>#DIV/0!</v>
      </c>
      <c r="G16" s="16"/>
    </row>
    <row r="17" spans="1:7" ht="24">
      <c r="A17" s="22" t="s">
        <v>603</v>
      </c>
      <c r="B17" s="145">
        <f>(งบกำไรขาดทุน!B4)/(งบกำไรขาดทุน!B3)*100</f>
        <v>1.25</v>
      </c>
      <c r="C17" s="145">
        <f>(งบกำไรขาดทุน!C4)/(งบกำไรขาดทุน!C3)*100</f>
        <v>1.25</v>
      </c>
      <c r="D17" s="145">
        <f>(งบกำไรขาดทุน!D4)/(งบกำไรขาดทุน!D3)*100</f>
        <v>1.25</v>
      </c>
      <c r="E17" s="145">
        <f>(งบกำไรขาดทุน!E4)/(งบกำไรขาดทุน!E3)*100</f>
        <v>1.25</v>
      </c>
      <c r="F17" s="145">
        <f>(งบกำไรขาดทุน!F4)/(งบกำไรขาดทุน!F3)*100</f>
        <v>1.25</v>
      </c>
      <c r="G17" s="16"/>
    </row>
    <row r="18" spans="1:7" ht="24">
      <c r="A18" s="22" t="s">
        <v>604</v>
      </c>
      <c r="B18" s="145">
        <f>งบกำไรขาดทุน!B7/งบกำไรขาดทุน!B3*100</f>
        <v>-20668.024031257075</v>
      </c>
      <c r="C18" s="145">
        <f>งบกำไรขาดทุน!C7/งบกำไรขาดทุน!C3*100</f>
        <v>-19694.750843757756</v>
      </c>
      <c r="D18" s="145">
        <f>งบกำไรขาดทุน!D7/งบกำไรขาดทุน!D3*100</f>
        <v>-18769.834827467454</v>
      </c>
      <c r="E18" s="145">
        <f>งบกำไรขาดทุน!E7/งบกำไรขาดทุน!E3*100</f>
        <v>-17890.708975540467</v>
      </c>
      <c r="F18" s="145">
        <f>งบกำไรขาดทุน!F7/งบกำไรขาดทุน!F3*100</f>
        <v>-17054.951840775342</v>
      </c>
      <c r="G18" s="16"/>
    </row>
    <row r="19" spans="1:7" ht="24">
      <c r="A19" s="22" t="s">
        <v>605</v>
      </c>
      <c r="B19" s="145">
        <f>งบกำไรขาดทุน!B11/งบกำไรขาดทุน!B3*100</f>
        <v>-16534.419225005662</v>
      </c>
      <c r="C19" s="145" t="e">
        <f>งบกำไรขาดทุน!C11/งบกำไรขาดทุน!C3*100</f>
        <v>#DIV/0!</v>
      </c>
      <c r="D19" s="145" t="e">
        <f>งบกำไรขาดทุน!D11/งบกำไรขาดทุน!D3*100</f>
        <v>#DIV/0!</v>
      </c>
      <c r="E19" s="145" t="e">
        <f>งบกำไรขาดทุน!E11/งบกำไรขาดทุน!E3*100</f>
        <v>#DIV/0!</v>
      </c>
      <c r="F19" s="145" t="e">
        <f>งบกำไรขาดทุน!F11/งบกำไรขาดทุน!F3*100</f>
        <v>#DIV/0!</v>
      </c>
      <c r="G19" s="16"/>
    </row>
    <row r="20" spans="1:7" ht="24">
      <c r="A20" s="93" t="s">
        <v>606</v>
      </c>
      <c r="B20" s="146"/>
      <c r="C20" s="146"/>
      <c r="D20" s="146"/>
      <c r="E20" s="146"/>
      <c r="F20" s="146"/>
      <c r="G20" s="16"/>
    </row>
    <row r="21" spans="1:7" ht="24">
      <c r="A21" s="22" t="s">
        <v>607</v>
      </c>
      <c r="B21" s="264" t="e">
        <f>'NPV,IRR'!C13</f>
        <v>#DIV/0!</v>
      </c>
      <c r="C21" s="272"/>
      <c r="D21" s="262"/>
      <c r="E21" s="272"/>
      <c r="F21" s="273"/>
      <c r="G21" s="16"/>
    </row>
    <row r="22" spans="1:7" ht="24">
      <c r="A22" s="22" t="s">
        <v>608</v>
      </c>
      <c r="B22" s="265" t="e">
        <f>'NPV,IRR'!C14</f>
        <v>#VALUE!</v>
      </c>
      <c r="C22" s="272"/>
      <c r="D22" s="262"/>
      <c r="E22" s="272"/>
      <c r="F22" s="273"/>
      <c r="G22" s="16"/>
    </row>
    <row r="23" spans="1:7" ht="24">
      <c r="A23" s="22" t="s">
        <v>609</v>
      </c>
      <c r="B23" s="261"/>
      <c r="C23" s="272"/>
      <c r="D23" s="262"/>
      <c r="E23" s="272"/>
      <c r="F23" s="273"/>
      <c r="G23" s="16"/>
    </row>
    <row r="24" spans="1:7" ht="24">
      <c r="A24" s="147" t="s">
        <v>415</v>
      </c>
      <c r="B24" s="148"/>
      <c r="C24" s="148"/>
      <c r="D24" s="148"/>
      <c r="E24" s="148"/>
      <c r="F24" s="148"/>
      <c r="G24" s="16"/>
    </row>
  </sheetData>
  <mergeCells count="7">
    <mergeCell ref="B23:C23"/>
    <mergeCell ref="D23:F23"/>
    <mergeCell ref="B1:F1"/>
    <mergeCell ref="B21:C21"/>
    <mergeCell ref="D21:F21"/>
    <mergeCell ref="B22:C22"/>
    <mergeCell ref="D22:F2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1C4F-73B8-49C4-B58C-A403F56E92C1}">
  <dimension ref="B2:P131"/>
  <sheetViews>
    <sheetView zoomScale="24" zoomScaleNormal="24" workbookViewId="0">
      <selection activeCell="G83" sqref="G83"/>
    </sheetView>
  </sheetViews>
  <sheetFormatPr defaultRowHeight="14.25"/>
  <cols>
    <col min="1" max="1" width="22.625" customWidth="1"/>
    <col min="2" max="2" width="65.5" customWidth="1"/>
    <col min="3" max="3" width="27.375" customWidth="1"/>
    <col min="4" max="4" width="23" customWidth="1"/>
    <col min="5" max="5" width="21.125" bestFit="1" customWidth="1"/>
    <col min="6" max="6" width="43" bestFit="1" customWidth="1"/>
    <col min="7" max="7" width="24" customWidth="1"/>
    <col min="8" max="8" width="15.875" customWidth="1"/>
    <col min="9" max="9" width="13.5" customWidth="1"/>
    <col min="10" max="10" width="13.125" bestFit="1" customWidth="1"/>
    <col min="11" max="11" width="17.625" customWidth="1"/>
    <col min="12" max="12" width="37.625" bestFit="1" customWidth="1"/>
    <col min="13" max="13" width="14" bestFit="1" customWidth="1"/>
    <col min="16" max="16" width="11.25" bestFit="1" customWidth="1"/>
    <col min="20" max="20" width="13.125" bestFit="1" customWidth="1"/>
  </cols>
  <sheetData>
    <row r="2" spans="2:6">
      <c r="B2" s="175" t="s">
        <v>120</v>
      </c>
      <c r="C2" s="176" t="s">
        <v>121</v>
      </c>
      <c r="D2" s="175" t="s">
        <v>122</v>
      </c>
    </row>
    <row r="3" spans="2:6">
      <c r="B3" s="174" t="s">
        <v>123</v>
      </c>
      <c r="C3" s="177">
        <v>110</v>
      </c>
      <c r="D3" s="174" t="s">
        <v>124</v>
      </c>
    </row>
    <row r="4" spans="2:6">
      <c r="B4" s="174" t="s">
        <v>125</v>
      </c>
      <c r="C4" s="177">
        <v>30</v>
      </c>
      <c r="D4" s="174" t="s">
        <v>126</v>
      </c>
    </row>
    <row r="5" spans="2:6">
      <c r="B5" s="174" t="s">
        <v>127</v>
      </c>
      <c r="C5" s="177">
        <v>20</v>
      </c>
      <c r="D5" s="174" t="s">
        <v>128</v>
      </c>
    </row>
    <row r="6" spans="2:6">
      <c r="B6" s="174" t="s">
        <v>129</v>
      </c>
      <c r="C6" s="177">
        <v>20</v>
      </c>
      <c r="D6" s="174" t="s">
        <v>130</v>
      </c>
    </row>
    <row r="7" spans="2:6">
      <c r="B7" s="174" t="s">
        <v>131</v>
      </c>
      <c r="C7" s="177">
        <v>45</v>
      </c>
      <c r="D7" s="174" t="s">
        <v>132</v>
      </c>
    </row>
    <row r="8" spans="2:6">
      <c r="B8" s="174" t="s">
        <v>133</v>
      </c>
      <c r="C8" s="177">
        <v>30</v>
      </c>
      <c r="D8" s="174" t="s">
        <v>134</v>
      </c>
    </row>
    <row r="9" spans="2:6">
      <c r="B9" s="174" t="s">
        <v>135</v>
      </c>
      <c r="C9" s="177">
        <v>5</v>
      </c>
      <c r="D9" s="174" t="s">
        <v>136</v>
      </c>
    </row>
    <row r="10" spans="2:6">
      <c r="B10" t="s">
        <v>137</v>
      </c>
      <c r="C10">
        <f>SUM(C3:C9)</f>
        <v>260</v>
      </c>
    </row>
    <row r="12" spans="2:6">
      <c r="B12" t="s">
        <v>138</v>
      </c>
      <c r="C12" t="s">
        <v>139</v>
      </c>
      <c r="D12" t="s">
        <v>140</v>
      </c>
      <c r="E12" t="s">
        <v>141</v>
      </c>
      <c r="F12" t="s">
        <v>18</v>
      </c>
    </row>
    <row r="13" spans="2:6">
      <c r="B13" t="s">
        <v>142</v>
      </c>
      <c r="C13">
        <v>3</v>
      </c>
      <c r="D13" s="7">
        <v>80000</v>
      </c>
      <c r="E13" s="2">
        <f t="shared" ref="E13:E22" si="0">D13*C13</f>
        <v>240000</v>
      </c>
      <c r="F13" t="s">
        <v>143</v>
      </c>
    </row>
    <row r="14" spans="2:6">
      <c r="B14" t="s">
        <v>144</v>
      </c>
      <c r="C14">
        <v>8</v>
      </c>
      <c r="D14" s="7">
        <v>8000</v>
      </c>
      <c r="E14" s="2">
        <f t="shared" si="0"/>
        <v>64000</v>
      </c>
      <c r="F14" t="s">
        <v>145</v>
      </c>
    </row>
    <row r="15" spans="2:6">
      <c r="B15" t="s">
        <v>146</v>
      </c>
      <c r="C15">
        <v>3</v>
      </c>
      <c r="D15" s="7">
        <v>5000</v>
      </c>
      <c r="E15" s="2">
        <f t="shared" si="0"/>
        <v>15000</v>
      </c>
      <c r="F15" t="s">
        <v>147</v>
      </c>
    </row>
    <row r="16" spans="2:6">
      <c r="B16" t="s">
        <v>148</v>
      </c>
      <c r="C16">
        <v>3</v>
      </c>
      <c r="D16" s="7">
        <v>40000</v>
      </c>
      <c r="E16" s="2">
        <f t="shared" si="0"/>
        <v>120000</v>
      </c>
      <c r="F16" t="s">
        <v>149</v>
      </c>
    </row>
    <row r="17" spans="2:6">
      <c r="B17" t="s">
        <v>150</v>
      </c>
      <c r="C17">
        <v>4</v>
      </c>
      <c r="D17" s="7">
        <v>25000</v>
      </c>
      <c r="E17" s="2">
        <f t="shared" si="0"/>
        <v>100000</v>
      </c>
      <c r="F17" t="s">
        <v>151</v>
      </c>
    </row>
    <row r="18" spans="2:6">
      <c r="B18" t="s">
        <v>152</v>
      </c>
      <c r="C18">
        <v>3</v>
      </c>
      <c r="D18" s="7">
        <v>12000</v>
      </c>
      <c r="E18" s="2">
        <f t="shared" si="0"/>
        <v>36000</v>
      </c>
      <c r="F18" t="s">
        <v>153</v>
      </c>
    </row>
    <row r="19" spans="2:6">
      <c r="B19" t="s">
        <v>154</v>
      </c>
      <c r="C19">
        <v>4</v>
      </c>
      <c r="D19" s="7">
        <v>8000</v>
      </c>
      <c r="E19" s="2">
        <f t="shared" si="0"/>
        <v>32000</v>
      </c>
      <c r="F19" t="s">
        <v>155</v>
      </c>
    </row>
    <row r="20" spans="2:6">
      <c r="B20" t="s">
        <v>156</v>
      </c>
      <c r="C20">
        <v>1</v>
      </c>
      <c r="D20" s="7">
        <v>85000</v>
      </c>
      <c r="E20" s="2">
        <f t="shared" si="0"/>
        <v>85000</v>
      </c>
      <c r="F20" t="s">
        <v>157</v>
      </c>
    </row>
    <row r="21" spans="2:6">
      <c r="B21" t="s">
        <v>158</v>
      </c>
      <c r="C21">
        <v>1</v>
      </c>
      <c r="D21" s="7">
        <v>30000</v>
      </c>
      <c r="E21" s="2">
        <f t="shared" si="0"/>
        <v>30000</v>
      </c>
      <c r="F21" t="s">
        <v>159</v>
      </c>
    </row>
    <row r="22" spans="2:6">
      <c r="B22" t="s">
        <v>160</v>
      </c>
      <c r="C22">
        <v>1</v>
      </c>
      <c r="D22" s="7">
        <v>10000</v>
      </c>
      <c r="E22" s="2">
        <f t="shared" si="0"/>
        <v>10000</v>
      </c>
      <c r="F22" t="s">
        <v>161</v>
      </c>
    </row>
    <row r="23" spans="2:6">
      <c r="B23" t="s">
        <v>14</v>
      </c>
      <c r="D23" s="7"/>
      <c r="E23" s="7">
        <f>SUM(E13:E22)</f>
        <v>732000</v>
      </c>
    </row>
    <row r="25" spans="2:6">
      <c r="B25" t="s">
        <v>162</v>
      </c>
      <c r="C25" t="s">
        <v>139</v>
      </c>
      <c r="D25" t="s">
        <v>163</v>
      </c>
      <c r="E25" t="s">
        <v>164</v>
      </c>
      <c r="F25" t="s">
        <v>18</v>
      </c>
    </row>
    <row r="26" spans="2:6">
      <c r="B26" t="s">
        <v>165</v>
      </c>
      <c r="C26">
        <v>22</v>
      </c>
      <c r="D26" s="7">
        <v>25000</v>
      </c>
      <c r="E26" s="2">
        <f t="shared" ref="E26:E31" si="1">D26*C26</f>
        <v>550000</v>
      </c>
      <c r="F26" t="s">
        <v>166</v>
      </c>
    </row>
    <row r="27" spans="2:6">
      <c r="B27" t="s">
        <v>167</v>
      </c>
      <c r="C27">
        <v>30</v>
      </c>
      <c r="D27" s="7">
        <v>6000</v>
      </c>
      <c r="E27" s="2">
        <f t="shared" si="1"/>
        <v>180000</v>
      </c>
      <c r="F27" t="s">
        <v>168</v>
      </c>
    </row>
    <row r="28" spans="2:6">
      <c r="B28" t="s">
        <v>169</v>
      </c>
      <c r="C28">
        <v>1</v>
      </c>
      <c r="D28" s="7">
        <v>70000</v>
      </c>
      <c r="E28" s="2">
        <f t="shared" si="1"/>
        <v>70000</v>
      </c>
      <c r="F28" t="s">
        <v>170</v>
      </c>
    </row>
    <row r="29" spans="2:6">
      <c r="B29" t="s">
        <v>171</v>
      </c>
      <c r="C29">
        <v>1</v>
      </c>
      <c r="D29" s="7">
        <v>60000</v>
      </c>
      <c r="E29" s="2">
        <f t="shared" si="1"/>
        <v>60000</v>
      </c>
      <c r="F29" t="s">
        <v>172</v>
      </c>
    </row>
    <row r="30" spans="2:6">
      <c r="B30" t="s">
        <v>173</v>
      </c>
      <c r="C30">
        <v>6</v>
      </c>
      <c r="D30" s="7">
        <v>6000</v>
      </c>
      <c r="E30" s="2">
        <f t="shared" si="1"/>
        <v>36000</v>
      </c>
      <c r="F30" t="s">
        <v>174</v>
      </c>
    </row>
    <row r="31" spans="2:6">
      <c r="B31" t="s">
        <v>175</v>
      </c>
      <c r="C31">
        <v>1</v>
      </c>
      <c r="D31" s="7">
        <v>20000</v>
      </c>
      <c r="E31" s="2">
        <f t="shared" si="1"/>
        <v>20000</v>
      </c>
      <c r="F31" t="s">
        <v>176</v>
      </c>
    </row>
    <row r="32" spans="2:6">
      <c r="B32" t="s">
        <v>14</v>
      </c>
      <c r="E32" s="7">
        <f>SUM(E26:E31)</f>
        <v>916000</v>
      </c>
      <c r="F32" t="s">
        <v>177</v>
      </c>
    </row>
    <row r="34" spans="2:6">
      <c r="B34" t="s">
        <v>178</v>
      </c>
      <c r="C34" t="s">
        <v>139</v>
      </c>
      <c r="D34" t="s">
        <v>163</v>
      </c>
      <c r="E34" t="s">
        <v>164</v>
      </c>
      <c r="F34" t="s">
        <v>18</v>
      </c>
    </row>
    <row r="35" spans="2:6">
      <c r="B35" t="s">
        <v>179</v>
      </c>
      <c r="C35">
        <v>1</v>
      </c>
      <c r="D35" s="7">
        <v>650000</v>
      </c>
      <c r="E35" s="2">
        <f>D35*C35</f>
        <v>650000</v>
      </c>
      <c r="F35" t="s">
        <v>180</v>
      </c>
    </row>
    <row r="36" spans="2:6">
      <c r="B36" t="s">
        <v>181</v>
      </c>
      <c r="C36">
        <v>0</v>
      </c>
      <c r="D36" s="7">
        <v>800000</v>
      </c>
      <c r="E36" s="2">
        <f>D36*C36</f>
        <v>0</v>
      </c>
      <c r="F36" t="s">
        <v>182</v>
      </c>
    </row>
    <row r="37" spans="2:6">
      <c r="B37" t="s">
        <v>183</v>
      </c>
      <c r="C37">
        <v>1</v>
      </c>
      <c r="D37" s="7">
        <v>250000</v>
      </c>
      <c r="E37" s="2">
        <f>D37*C37</f>
        <v>250000</v>
      </c>
      <c r="F37" t="s">
        <v>184</v>
      </c>
    </row>
    <row r="38" spans="2:6">
      <c r="B38" t="s">
        <v>185</v>
      </c>
      <c r="C38" t="s">
        <v>186</v>
      </c>
      <c r="D38" t="s">
        <v>186</v>
      </c>
      <c r="E38">
        <v>0</v>
      </c>
      <c r="F38" t="s">
        <v>187</v>
      </c>
    </row>
    <row r="39" spans="2:6">
      <c r="B39" t="s">
        <v>14</v>
      </c>
      <c r="E39" s="8">
        <f>SUM(E35:E38)</f>
        <v>900000</v>
      </c>
    </row>
    <row r="41" spans="2:6">
      <c r="B41" t="s">
        <v>188</v>
      </c>
      <c r="C41" t="s">
        <v>139</v>
      </c>
      <c r="D41" t="s">
        <v>163</v>
      </c>
      <c r="E41" t="s">
        <v>164</v>
      </c>
      <c r="F41" t="s">
        <v>18</v>
      </c>
    </row>
    <row r="42" spans="2:6">
      <c r="B42" t="s">
        <v>189</v>
      </c>
      <c r="C42">
        <v>4</v>
      </c>
      <c r="D42" s="7">
        <v>6000</v>
      </c>
      <c r="E42" s="2">
        <f>D42*C42</f>
        <v>24000</v>
      </c>
      <c r="F42" t="s">
        <v>190</v>
      </c>
    </row>
    <row r="43" spans="2:6">
      <c r="B43" t="s">
        <v>191</v>
      </c>
      <c r="C43">
        <v>4</v>
      </c>
      <c r="D43" s="7">
        <v>6000</v>
      </c>
      <c r="E43" s="2">
        <f>D43*C43</f>
        <v>24000</v>
      </c>
      <c r="F43" t="s">
        <v>192</v>
      </c>
    </row>
    <row r="44" spans="2:6">
      <c r="B44" t="s">
        <v>193</v>
      </c>
      <c r="C44">
        <v>1</v>
      </c>
      <c r="D44" s="7">
        <v>12000</v>
      </c>
      <c r="E44" s="2">
        <f>D44*C44</f>
        <v>12000</v>
      </c>
      <c r="F44" t="s">
        <v>194</v>
      </c>
    </row>
    <row r="45" spans="2:6">
      <c r="B45" t="s">
        <v>195</v>
      </c>
      <c r="C45">
        <v>3</v>
      </c>
      <c r="D45" s="7">
        <v>3000</v>
      </c>
      <c r="E45" s="2">
        <f>D45*C45</f>
        <v>9000</v>
      </c>
      <c r="F45" t="s">
        <v>196</v>
      </c>
    </row>
    <row r="46" spans="2:6">
      <c r="B46" t="s">
        <v>197</v>
      </c>
      <c r="C46">
        <v>3</v>
      </c>
      <c r="D46" s="7">
        <v>8000</v>
      </c>
      <c r="E46" s="2">
        <f>D46*C46</f>
        <v>24000</v>
      </c>
      <c r="F46" t="s">
        <v>198</v>
      </c>
    </row>
    <row r="47" spans="2:6">
      <c r="B47" t="s">
        <v>14</v>
      </c>
      <c r="E47" s="7">
        <f>SUM(E42:E46)</f>
        <v>93000</v>
      </c>
      <c r="F47" t="s">
        <v>177</v>
      </c>
    </row>
    <row r="49" spans="2:15">
      <c r="B49" t="s">
        <v>199</v>
      </c>
      <c r="C49" t="s">
        <v>139</v>
      </c>
      <c r="D49" t="s">
        <v>163</v>
      </c>
      <c r="E49" t="s">
        <v>164</v>
      </c>
      <c r="F49" t="s">
        <v>18</v>
      </c>
    </row>
    <row r="50" spans="2:15">
      <c r="B50" t="s">
        <v>200</v>
      </c>
      <c r="C50">
        <v>1</v>
      </c>
      <c r="D50" s="7">
        <v>200000</v>
      </c>
      <c r="E50" s="2">
        <f t="shared" ref="E50:E55" si="2">D50*C50</f>
        <v>200000</v>
      </c>
      <c r="F50" t="s">
        <v>201</v>
      </c>
    </row>
    <row r="51" spans="2:15">
      <c r="B51" t="s">
        <v>202</v>
      </c>
      <c r="C51">
        <v>1</v>
      </c>
      <c r="D51" s="7">
        <v>120000</v>
      </c>
      <c r="E51" s="2">
        <f t="shared" si="2"/>
        <v>120000</v>
      </c>
      <c r="F51" t="s">
        <v>203</v>
      </c>
    </row>
    <row r="52" spans="2:15">
      <c r="B52" t="s">
        <v>204</v>
      </c>
      <c r="C52">
        <v>1</v>
      </c>
      <c r="D52" s="7">
        <v>40000</v>
      </c>
      <c r="E52" s="2">
        <f t="shared" si="2"/>
        <v>40000</v>
      </c>
      <c r="F52" t="s">
        <v>205</v>
      </c>
    </row>
    <row r="53" spans="2:15">
      <c r="B53" t="s">
        <v>206</v>
      </c>
      <c r="C53">
        <v>1</v>
      </c>
      <c r="D53" s="7">
        <v>80000</v>
      </c>
      <c r="E53" s="2">
        <f t="shared" si="2"/>
        <v>80000</v>
      </c>
      <c r="F53" t="s">
        <v>207</v>
      </c>
    </row>
    <row r="54" spans="2:15">
      <c r="B54" t="s">
        <v>208</v>
      </c>
      <c r="C54">
        <v>1</v>
      </c>
      <c r="D54" s="7">
        <v>15000</v>
      </c>
      <c r="E54" s="2">
        <f t="shared" si="2"/>
        <v>15000</v>
      </c>
      <c r="F54" t="s">
        <v>209</v>
      </c>
    </row>
    <row r="55" spans="2:15">
      <c r="B55" t="s">
        <v>210</v>
      </c>
      <c r="C55">
        <v>73</v>
      </c>
      <c r="D55" s="7">
        <v>8082</v>
      </c>
      <c r="E55" s="2">
        <f t="shared" si="2"/>
        <v>589986</v>
      </c>
      <c r="H55">
        <v>310.6849315068493</v>
      </c>
      <c r="I55">
        <f>H55*C55</f>
        <v>22680</v>
      </c>
    </row>
    <row r="56" spans="2:15">
      <c r="B56" t="s">
        <v>14</v>
      </c>
      <c r="E56" s="7">
        <f>SUM(E50:E55)</f>
        <v>1044986</v>
      </c>
      <c r="F56" t="s">
        <v>177</v>
      </c>
    </row>
    <row r="57" spans="2:15" ht="15" thickBot="1"/>
    <row r="58" spans="2:15" ht="15.75" thickTop="1" thickBot="1">
      <c r="K58" s="205" t="s">
        <v>211</v>
      </c>
      <c r="L58" s="205" t="s">
        <v>212</v>
      </c>
      <c r="M58" s="7">
        <v>4800</v>
      </c>
      <c r="N58">
        <v>45</v>
      </c>
      <c r="O58">
        <f>M58*N58</f>
        <v>216000</v>
      </c>
    </row>
    <row r="59" spans="2:15" ht="15.75" thickTop="1" thickBot="1">
      <c r="L59" s="205" t="s">
        <v>213</v>
      </c>
      <c r="M59">
        <v>12</v>
      </c>
      <c r="N59" s="7">
        <v>4000</v>
      </c>
      <c r="O59">
        <f t="shared" ref="O59:O71" si="3">M59*N59</f>
        <v>48000</v>
      </c>
    </row>
    <row r="60" spans="2:15" ht="15.75" thickTop="1" thickBot="1">
      <c r="L60" s="205" t="s">
        <v>214</v>
      </c>
      <c r="M60">
        <v>180</v>
      </c>
      <c r="N60">
        <v>40</v>
      </c>
      <c r="O60">
        <f t="shared" si="3"/>
        <v>7200</v>
      </c>
    </row>
    <row r="61" spans="2:15" ht="15.75" thickTop="1" thickBot="1">
      <c r="L61" s="205" t="s">
        <v>215</v>
      </c>
      <c r="M61">
        <v>24</v>
      </c>
      <c r="N61" s="7">
        <v>1500</v>
      </c>
      <c r="O61">
        <f t="shared" si="3"/>
        <v>36000</v>
      </c>
    </row>
    <row r="62" spans="2:15" ht="15.75" thickTop="1" thickBot="1">
      <c r="L62" s="205" t="s">
        <v>216</v>
      </c>
      <c r="M62">
        <v>360</v>
      </c>
      <c r="N62">
        <v>4</v>
      </c>
      <c r="O62">
        <f t="shared" si="3"/>
        <v>1440</v>
      </c>
    </row>
    <row r="63" spans="2:15" ht="15.75" thickTop="1" thickBot="1">
      <c r="L63" s="205" t="s">
        <v>217</v>
      </c>
      <c r="M63">
        <v>60</v>
      </c>
      <c r="N63">
        <v>60</v>
      </c>
      <c r="O63">
        <f t="shared" si="3"/>
        <v>3600</v>
      </c>
    </row>
    <row r="64" spans="2:15" ht="15.75" thickTop="1" thickBot="1">
      <c r="L64" s="205" t="s">
        <v>218</v>
      </c>
      <c r="M64">
        <v>300</v>
      </c>
      <c r="N64">
        <v>12</v>
      </c>
      <c r="O64">
        <f t="shared" si="3"/>
        <v>3600</v>
      </c>
    </row>
    <row r="65" spans="2:15" ht="15.75" thickTop="1" thickBot="1">
      <c r="L65" s="205" t="s">
        <v>219</v>
      </c>
      <c r="M65">
        <v>72</v>
      </c>
      <c r="N65">
        <v>10</v>
      </c>
      <c r="O65">
        <f t="shared" si="3"/>
        <v>720</v>
      </c>
    </row>
    <row r="66" spans="2:15" ht="15.75" thickTop="1" thickBot="1">
      <c r="L66" s="205" t="s">
        <v>220</v>
      </c>
      <c r="M66">
        <v>36</v>
      </c>
      <c r="N66">
        <v>12</v>
      </c>
      <c r="O66">
        <f t="shared" si="3"/>
        <v>432</v>
      </c>
    </row>
    <row r="67" spans="2:15" ht="15.75" thickTop="1" thickBot="1">
      <c r="L67" s="205" t="s">
        <v>221</v>
      </c>
      <c r="M67">
        <v>20</v>
      </c>
      <c r="N67">
        <v>300</v>
      </c>
      <c r="O67">
        <f t="shared" si="3"/>
        <v>6000</v>
      </c>
    </row>
    <row r="68" spans="2:15" ht="15.75" thickTop="1" thickBot="1">
      <c r="G68" t="s">
        <v>222</v>
      </c>
      <c r="L68" s="205" t="s">
        <v>223</v>
      </c>
      <c r="M68">
        <v>36</v>
      </c>
      <c r="N68">
        <v>120</v>
      </c>
      <c r="O68">
        <f t="shared" si="3"/>
        <v>4320</v>
      </c>
    </row>
    <row r="69" spans="2:15" ht="15.75" thickTop="1" thickBot="1">
      <c r="F69" s="202" t="s">
        <v>14</v>
      </c>
      <c r="G69" s="206">
        <f>O72</f>
        <v>375312</v>
      </c>
      <c r="L69" s="205" t="s">
        <v>224</v>
      </c>
      <c r="M69">
        <v>12</v>
      </c>
      <c r="N69">
        <v>500</v>
      </c>
      <c r="O69">
        <f t="shared" si="3"/>
        <v>6000</v>
      </c>
    </row>
    <row r="70" spans="2:15" ht="15.75" thickTop="1" thickBot="1">
      <c r="L70" s="205" t="s">
        <v>225</v>
      </c>
      <c r="M70">
        <v>180</v>
      </c>
      <c r="N70">
        <v>100</v>
      </c>
      <c r="O70">
        <f t="shared" si="3"/>
        <v>18000</v>
      </c>
    </row>
    <row r="71" spans="2:15" ht="15.75" thickTop="1" thickBot="1">
      <c r="L71" s="205" t="s">
        <v>226</v>
      </c>
      <c r="M71">
        <v>48</v>
      </c>
      <c r="N71">
        <v>500</v>
      </c>
      <c r="O71">
        <f t="shared" si="3"/>
        <v>24000</v>
      </c>
    </row>
    <row r="72" spans="2:15" ht="15" thickTop="1">
      <c r="B72" s="161" t="s">
        <v>227</v>
      </c>
      <c r="C72" s="161" t="s">
        <v>228</v>
      </c>
      <c r="I72">
        <v>12000</v>
      </c>
      <c r="J72">
        <f>I72/12</f>
        <v>1000</v>
      </c>
      <c r="O72">
        <f>SUM(O58:O71)</f>
        <v>375312</v>
      </c>
    </row>
    <row r="73" spans="2:15">
      <c r="B73" s="161" t="s">
        <v>229</v>
      </c>
      <c r="C73" s="162">
        <f>E23</f>
        <v>732000</v>
      </c>
      <c r="D73" s="7">
        <f>C74+C76+C77</f>
        <v>2053986</v>
      </c>
      <c r="N73">
        <v>12</v>
      </c>
      <c r="O73">
        <f>O72/N73</f>
        <v>31276</v>
      </c>
    </row>
    <row r="74" spans="2:15">
      <c r="B74" s="161" t="s">
        <v>230</v>
      </c>
      <c r="C74" s="162">
        <f>E32</f>
        <v>916000</v>
      </c>
    </row>
    <row r="75" spans="2:15">
      <c r="B75" s="161" t="s">
        <v>231</v>
      </c>
      <c r="C75" s="162">
        <f>E39</f>
        <v>900000</v>
      </c>
      <c r="E75" s="7">
        <f>C73</f>
        <v>732000</v>
      </c>
    </row>
    <row r="76" spans="2:15">
      <c r="B76" s="161" t="s">
        <v>232</v>
      </c>
      <c r="C76" s="162">
        <f>E47</f>
        <v>93000</v>
      </c>
      <c r="E76" s="7">
        <f>C74+C75+C76+C77+C79</f>
        <v>3322584.6</v>
      </c>
    </row>
    <row r="77" spans="2:15">
      <c r="B77" s="161" t="s">
        <v>233</v>
      </c>
      <c r="C77" s="162">
        <f>E56</f>
        <v>1044986</v>
      </c>
    </row>
    <row r="78" spans="2:15">
      <c r="B78" s="161" t="s">
        <v>234</v>
      </c>
      <c r="C78" s="7">
        <f>SUM(C73:C77)</f>
        <v>3685986</v>
      </c>
    </row>
    <row r="79" spans="2:15">
      <c r="B79" s="161" t="s">
        <v>235</v>
      </c>
      <c r="C79" s="162">
        <f>C78*0.1</f>
        <v>368598.60000000003</v>
      </c>
    </row>
    <row r="80" spans="2:15">
      <c r="B80" s="161" t="s">
        <v>236</v>
      </c>
      <c r="C80" s="162">
        <f>C78+C79</f>
        <v>4054584.6</v>
      </c>
    </row>
    <row r="82" spans="2:16">
      <c r="B82" t="s">
        <v>237</v>
      </c>
      <c r="C82" t="s">
        <v>139</v>
      </c>
      <c r="D82" t="s">
        <v>238</v>
      </c>
      <c r="E82" t="s">
        <v>239</v>
      </c>
      <c r="F82" t="s">
        <v>18</v>
      </c>
    </row>
    <row r="83" spans="2:16">
      <c r="B83" t="s">
        <v>240</v>
      </c>
      <c r="C83">
        <v>1</v>
      </c>
      <c r="D83" t="s">
        <v>241</v>
      </c>
      <c r="E83" s="7">
        <v>45000</v>
      </c>
      <c r="F83" t="s">
        <v>242</v>
      </c>
      <c r="G83" s="204">
        <f>E92-E91-E83-E84-E85-E89</f>
        <v>249765.66666666663</v>
      </c>
      <c r="H83" s="204">
        <f>G83*12</f>
        <v>2997187.9999999995</v>
      </c>
    </row>
    <row r="84" spans="2:16">
      <c r="B84" t="s">
        <v>243</v>
      </c>
      <c r="C84">
        <v>1</v>
      </c>
      <c r="D84" t="s">
        <v>241</v>
      </c>
      <c r="E84" s="7">
        <f>E116+G131</f>
        <v>1392.1240880000005</v>
      </c>
      <c r="F84" t="s">
        <v>244</v>
      </c>
    </row>
    <row r="85" spans="2:16">
      <c r="B85" t="s">
        <v>245</v>
      </c>
      <c r="C85">
        <v>1</v>
      </c>
      <c r="D85" t="s">
        <v>241</v>
      </c>
      <c r="E85" s="7">
        <f>'Inputs&amp;Assumptions'!I43</f>
        <v>430000</v>
      </c>
      <c r="F85" t="s">
        <v>246</v>
      </c>
    </row>
    <row r="86" spans="2:16">
      <c r="B86" t="s">
        <v>247</v>
      </c>
      <c r="C86">
        <v>1</v>
      </c>
      <c r="D86" t="s">
        <v>241</v>
      </c>
      <c r="E86" s="7">
        <v>160000</v>
      </c>
      <c r="F86" t="s">
        <v>248</v>
      </c>
    </row>
    <row r="87" spans="2:16">
      <c r="B87" t="s">
        <v>249</v>
      </c>
      <c r="C87">
        <v>1</v>
      </c>
      <c r="D87" t="s">
        <v>241</v>
      </c>
      <c r="E87" s="2">
        <f>(H87/12)+J72</f>
        <v>52666.666666666664</v>
      </c>
      <c r="F87" t="s">
        <v>250</v>
      </c>
      <c r="H87" s="2">
        <v>620000</v>
      </c>
      <c r="J87" s="201" t="s">
        <v>251</v>
      </c>
      <c r="K87" s="163"/>
      <c r="L87" s="184">
        <f>E91*12</f>
        <v>3734573.1889246437</v>
      </c>
    </row>
    <row r="88" spans="2:16">
      <c r="B88" t="s">
        <v>252</v>
      </c>
      <c r="C88">
        <v>1</v>
      </c>
      <c r="D88" t="s">
        <v>241</v>
      </c>
      <c r="E88" s="7">
        <v>5823</v>
      </c>
      <c r="F88" t="s">
        <v>253</v>
      </c>
      <c r="H88" s="2">
        <v>2500000</v>
      </c>
      <c r="J88" s="225" t="s">
        <v>254</v>
      </c>
      <c r="K88" s="5">
        <v>0.12</v>
      </c>
      <c r="L88" s="184">
        <f>$L$87*K88</f>
        <v>448148.78267095721</v>
      </c>
    </row>
    <row r="89" spans="2:16">
      <c r="B89" t="s">
        <v>58</v>
      </c>
      <c r="C89">
        <v>1</v>
      </c>
      <c r="D89" t="s">
        <v>241</v>
      </c>
      <c r="E89" s="2">
        <f>'Inputs&amp;Assumptions'!S43</f>
        <v>10555</v>
      </c>
      <c r="J89" s="225" t="s">
        <v>255</v>
      </c>
      <c r="K89" s="5">
        <v>0.65</v>
      </c>
      <c r="L89" s="184">
        <f>$L$87*K89</f>
        <v>2427472.5728010186</v>
      </c>
    </row>
    <row r="90" spans="2:16">
      <c r="B90" t="s">
        <v>211</v>
      </c>
      <c r="C90">
        <v>1</v>
      </c>
      <c r="D90" t="s">
        <v>241</v>
      </c>
      <c r="E90" s="2">
        <f>O73</f>
        <v>31276</v>
      </c>
      <c r="J90" s="225" t="s">
        <v>256</v>
      </c>
      <c r="K90" s="5">
        <v>0.23</v>
      </c>
      <c r="L90" s="184">
        <f>$L$87*K90</f>
        <v>858951.83345266804</v>
      </c>
    </row>
    <row r="91" spans="2:16">
      <c r="B91" t="s">
        <v>251</v>
      </c>
      <c r="C91">
        <v>1</v>
      </c>
      <c r="D91" t="s">
        <v>241</v>
      </c>
      <c r="E91" s="2">
        <v>311214.43241038697</v>
      </c>
    </row>
    <row r="92" spans="2:16">
      <c r="B92" t="s">
        <v>14</v>
      </c>
      <c r="E92" s="7">
        <f>SUM(E83:E91)</f>
        <v>1047927.2231650536</v>
      </c>
    </row>
    <row r="95" spans="2:16">
      <c r="B95" t="s">
        <v>257</v>
      </c>
      <c r="C95" t="s">
        <v>258</v>
      </c>
      <c r="D95" t="s">
        <v>259</v>
      </c>
      <c r="E95" t="s">
        <v>260</v>
      </c>
      <c r="F95" t="s">
        <v>261</v>
      </c>
      <c r="G95" t="s">
        <v>262</v>
      </c>
      <c r="H95" t="s">
        <v>18</v>
      </c>
    </row>
    <row r="96" spans="2:16">
      <c r="B96" t="s">
        <v>263</v>
      </c>
      <c r="C96">
        <v>14.19</v>
      </c>
      <c r="D96">
        <v>8</v>
      </c>
      <c r="E96">
        <v>22</v>
      </c>
      <c r="F96">
        <f>E96*D96</f>
        <v>176</v>
      </c>
      <c r="G96">
        <f t="shared" ref="G96:G102" si="4">C96*F96</f>
        <v>2497.44</v>
      </c>
      <c r="H96" t="s">
        <v>264</v>
      </c>
      <c r="I96" s="158"/>
      <c r="M96" s="163" t="s">
        <v>265</v>
      </c>
      <c r="N96" s="163">
        <f>IF(G103&gt;=150,150,G103)</f>
        <v>150</v>
      </c>
      <c r="O96" s="163">
        <v>3.2484000000000002</v>
      </c>
      <c r="P96" s="163">
        <f>N96*O96</f>
        <v>487.26000000000005</v>
      </c>
    </row>
    <row r="97" spans="2:16">
      <c r="B97" t="s">
        <v>266</v>
      </c>
      <c r="C97">
        <v>5.05</v>
      </c>
      <c r="D97">
        <v>8</v>
      </c>
      <c r="E97">
        <v>22</v>
      </c>
      <c r="F97">
        <f t="shared" ref="F97:F102" si="5">E97*D97</f>
        <v>176</v>
      </c>
      <c r="G97">
        <f t="shared" si="4"/>
        <v>888.8</v>
      </c>
      <c r="H97" t="s">
        <v>267</v>
      </c>
      <c r="I97" s="158"/>
      <c r="M97" s="163" t="s">
        <v>268</v>
      </c>
      <c r="N97" s="163">
        <f>IF((G103-N96)&gt;=250,250,(G103-N96))</f>
        <v>250</v>
      </c>
      <c r="O97" s="163">
        <v>4.2218</v>
      </c>
      <c r="P97" s="163">
        <f t="shared" ref="P97:P98" si="6">N97*O97</f>
        <v>1055.45</v>
      </c>
    </row>
    <row r="98" spans="2:16">
      <c r="B98" t="s">
        <v>269</v>
      </c>
      <c r="C98">
        <v>7</v>
      </c>
      <c r="D98">
        <v>10</v>
      </c>
      <c r="E98">
        <v>22</v>
      </c>
      <c r="F98">
        <f t="shared" si="5"/>
        <v>220</v>
      </c>
      <c r="G98">
        <f t="shared" si="4"/>
        <v>1540</v>
      </c>
      <c r="H98" t="s">
        <v>270</v>
      </c>
      <c r="I98" s="158"/>
      <c r="M98" s="163" t="s">
        <v>271</v>
      </c>
      <c r="N98" s="163">
        <f>IF((G103-N96-N97)&gt;0,(G103-N96-N97),0)</f>
        <v>4926.6399999999994</v>
      </c>
      <c r="O98" s="163">
        <v>4.4217000000000004</v>
      </c>
      <c r="P98" s="183">
        <f t="shared" si="6"/>
        <v>21784.124088</v>
      </c>
    </row>
    <row r="99" spans="2:16">
      <c r="B99" t="s">
        <v>127</v>
      </c>
      <c r="C99">
        <v>0.9</v>
      </c>
      <c r="D99">
        <v>8</v>
      </c>
      <c r="E99">
        <v>22</v>
      </c>
      <c r="F99">
        <f t="shared" si="5"/>
        <v>176</v>
      </c>
      <c r="G99">
        <f t="shared" si="4"/>
        <v>158.4</v>
      </c>
      <c r="H99" t="s">
        <v>272</v>
      </c>
      <c r="I99" s="158"/>
      <c r="M99" s="163" t="s">
        <v>273</v>
      </c>
      <c r="N99" s="163"/>
      <c r="O99" s="163"/>
      <c r="P99" s="182">
        <f>SUM(P96:P98)</f>
        <v>23326.834088</v>
      </c>
    </row>
    <row r="100" spans="2:16">
      <c r="B100" t="s">
        <v>274</v>
      </c>
      <c r="C100">
        <v>0.3</v>
      </c>
      <c r="D100">
        <v>10</v>
      </c>
      <c r="E100">
        <v>22</v>
      </c>
      <c r="F100">
        <f t="shared" si="5"/>
        <v>220</v>
      </c>
      <c r="G100">
        <f t="shared" si="4"/>
        <v>66</v>
      </c>
      <c r="H100" t="s">
        <v>275</v>
      </c>
      <c r="I100" s="158"/>
      <c r="M100" s="163" t="s">
        <v>276</v>
      </c>
      <c r="N100" s="163"/>
      <c r="O100" s="163"/>
      <c r="P100" s="182">
        <v>33.29</v>
      </c>
    </row>
    <row r="101" spans="2:16">
      <c r="B101" t="s">
        <v>277</v>
      </c>
      <c r="C101">
        <v>0.2</v>
      </c>
      <c r="D101">
        <v>8</v>
      </c>
      <c r="E101">
        <v>22</v>
      </c>
      <c r="F101">
        <f t="shared" si="5"/>
        <v>176</v>
      </c>
      <c r="G101">
        <f t="shared" si="4"/>
        <v>35.200000000000003</v>
      </c>
      <c r="H101" t="s">
        <v>278</v>
      </c>
      <c r="I101" s="158"/>
      <c r="M101" s="163" t="s">
        <v>14</v>
      </c>
      <c r="N101" s="163"/>
      <c r="O101" s="163"/>
      <c r="P101" s="182">
        <f>SUM(P99:P100)</f>
        <v>23360.124088</v>
      </c>
    </row>
    <row r="102" spans="2:16">
      <c r="B102" t="s">
        <v>279</v>
      </c>
      <c r="C102">
        <v>0.8</v>
      </c>
      <c r="D102">
        <v>8</v>
      </c>
      <c r="E102">
        <v>22</v>
      </c>
      <c r="F102">
        <f t="shared" si="5"/>
        <v>176</v>
      </c>
      <c r="G102">
        <f t="shared" si="4"/>
        <v>140.80000000000001</v>
      </c>
      <c r="H102" t="s">
        <v>280</v>
      </c>
      <c r="I102" s="158"/>
    </row>
    <row r="103" spans="2:16">
      <c r="B103" t="s">
        <v>14</v>
      </c>
      <c r="G103">
        <f>SUM(G96:G102)</f>
        <v>5326.6399999999994</v>
      </c>
    </row>
    <row r="105" spans="2:16">
      <c r="G105" s="181" t="s">
        <v>281</v>
      </c>
      <c r="H105" s="161" t="s">
        <v>282</v>
      </c>
    </row>
    <row r="106" spans="2:16">
      <c r="G106" s="187">
        <f>3.2484*MIN(G103,150)+4.2218*MAX(MIN(G103-150,250),0)+4.4217*MAX(G103-400,0)+33.29</f>
        <v>23360.124088</v>
      </c>
      <c r="H106" s="189">
        <f>G106-I55</f>
        <v>680.12408800000048</v>
      </c>
    </row>
    <row r="107" spans="2:16">
      <c r="C107" s="178"/>
      <c r="D107" s="178"/>
    </row>
    <row r="108" spans="2:16">
      <c r="B108" t="s">
        <v>283</v>
      </c>
      <c r="C108" t="s">
        <v>17</v>
      </c>
    </row>
    <row r="109" spans="2:16">
      <c r="B109" t="s">
        <v>284</v>
      </c>
      <c r="C109" s="179">
        <v>22</v>
      </c>
      <c r="D109" t="s">
        <v>285</v>
      </c>
    </row>
    <row r="110" spans="2:16">
      <c r="B110" t="s">
        <v>286</v>
      </c>
      <c r="C110" s="179"/>
      <c r="D110" t="s">
        <v>287</v>
      </c>
    </row>
    <row r="111" spans="2:16">
      <c r="B111" t="s">
        <v>288</v>
      </c>
      <c r="C111" s="179">
        <v>8</v>
      </c>
      <c r="D111" t="s">
        <v>259</v>
      </c>
    </row>
    <row r="112" spans="2:16">
      <c r="B112" t="s">
        <v>289</v>
      </c>
      <c r="C112" s="179">
        <v>10</v>
      </c>
      <c r="D112" t="s">
        <v>259</v>
      </c>
    </row>
    <row r="113" spans="2:7">
      <c r="B113" t="s">
        <v>18</v>
      </c>
      <c r="C113" t="s">
        <v>290</v>
      </c>
    </row>
    <row r="115" spans="2:7">
      <c r="B115" t="s">
        <v>291</v>
      </c>
      <c r="C115" t="s">
        <v>292</v>
      </c>
      <c r="D115" t="s">
        <v>293</v>
      </c>
      <c r="E115" t="s">
        <v>294</v>
      </c>
    </row>
    <row r="116" spans="2:7">
      <c r="B116" t="s">
        <v>295</v>
      </c>
      <c r="C116" s="178">
        <f>G103</f>
        <v>5326.6399999999994</v>
      </c>
      <c r="E116" s="178">
        <f>H106</f>
        <v>680.12408800000048</v>
      </c>
    </row>
    <row r="118" spans="2:7">
      <c r="C118" t="s">
        <v>296</v>
      </c>
    </row>
    <row r="119" spans="2:7">
      <c r="B119" t="s">
        <v>297</v>
      </c>
      <c r="C119">
        <v>36</v>
      </c>
    </row>
    <row r="120" spans="2:7">
      <c r="D120" s="163">
        <v>17</v>
      </c>
      <c r="E120" s="182">
        <f>MAX(IF(C119&gt;=10,10,C119),0)</f>
        <v>10</v>
      </c>
      <c r="F120" s="163">
        <v>10</v>
      </c>
      <c r="G120" s="184">
        <f t="shared" ref="G120:G130" si="7">D120*E120</f>
        <v>170</v>
      </c>
    </row>
    <row r="121" spans="2:7">
      <c r="D121" s="163">
        <v>20</v>
      </c>
      <c r="E121" s="182">
        <f>MAX(IF((C119-10)&gt;=10,10,(C119-10)),0)</f>
        <v>10</v>
      </c>
      <c r="F121" s="163">
        <v>10</v>
      </c>
      <c r="G121" s="184">
        <f t="shared" si="7"/>
        <v>200</v>
      </c>
    </row>
    <row r="122" spans="2:7">
      <c r="D122" s="163">
        <v>21</v>
      </c>
      <c r="E122" s="182">
        <f>MAX(IF((C119-10-10)&gt;=10,10,(C119-10-10)),0)</f>
        <v>10</v>
      </c>
      <c r="F122" s="163">
        <v>10</v>
      </c>
      <c r="G122" s="184">
        <f t="shared" si="7"/>
        <v>210</v>
      </c>
    </row>
    <row r="123" spans="2:7">
      <c r="D123" s="163">
        <v>22</v>
      </c>
      <c r="E123" s="182">
        <f>MAX(IF((C119-10-10-10)&gt;=20,20,(C119-10-10-10)),0)</f>
        <v>6</v>
      </c>
      <c r="F123" s="163">
        <v>20</v>
      </c>
      <c r="G123" s="184">
        <f t="shared" si="7"/>
        <v>132</v>
      </c>
    </row>
    <row r="124" spans="2:7">
      <c r="D124" s="163">
        <v>23</v>
      </c>
      <c r="E124" s="182">
        <f>MAX(IF((C119-10-10-10-20)&gt;=30,30,(C119-10-10-10-20)),0)</f>
        <v>0</v>
      </c>
      <c r="F124" s="163">
        <v>30</v>
      </c>
      <c r="G124" s="184">
        <f t="shared" si="7"/>
        <v>0</v>
      </c>
    </row>
    <row r="125" spans="2:7">
      <c r="D125" s="163">
        <v>24</v>
      </c>
      <c r="E125" s="182">
        <f>MAX(IF((C119-10-10-10-20-30)&gt;=20,20,(C119-10-10-10-20-30)),0)</f>
        <v>0</v>
      </c>
      <c r="F125" s="163">
        <v>20</v>
      </c>
      <c r="G125" s="184">
        <f t="shared" si="7"/>
        <v>0</v>
      </c>
    </row>
    <row r="126" spans="2:7">
      <c r="D126" s="163">
        <v>27.4</v>
      </c>
      <c r="E126" s="182">
        <f>MAX(IF((C119-10-10-10-20-30-20)&gt;=200,200,(C119-10-10-10-20-30-20)),0)</f>
        <v>0</v>
      </c>
      <c r="F126" s="163">
        <v>200</v>
      </c>
      <c r="G126" s="184">
        <f t="shared" si="7"/>
        <v>0</v>
      </c>
    </row>
    <row r="127" spans="2:7">
      <c r="D127" s="163">
        <v>27.5</v>
      </c>
      <c r="E127" s="182">
        <f>MAX(IF((C119-10-10-10-20-30-20-200)&gt;=700,700,(C119-10-10-10-20-30-20-200)),0)</f>
        <v>0</v>
      </c>
      <c r="F127" s="163">
        <v>700</v>
      </c>
      <c r="G127" s="184">
        <f t="shared" si="7"/>
        <v>0</v>
      </c>
    </row>
    <row r="128" spans="2:7">
      <c r="D128" s="163">
        <v>27.6</v>
      </c>
      <c r="E128" s="182">
        <f>MAX(IF((C119-10-10-10-20-30-20-200-700)&gt;=1000,1000,(C119-10-10-10-20-30-20-200-700)),0)</f>
        <v>0</v>
      </c>
      <c r="F128" s="163">
        <v>1000</v>
      </c>
      <c r="G128" s="184">
        <f t="shared" si="7"/>
        <v>0</v>
      </c>
    </row>
    <row r="129" spans="4:7">
      <c r="D129" s="163">
        <v>27.8</v>
      </c>
      <c r="E129" s="182">
        <f>MAX(IF((C119-10-10-10-20-30-20-200-700-1000)&gt;=1000,1000,(C119-10-10-10-20-30-20-200-700-1000)),0)</f>
        <v>0</v>
      </c>
      <c r="F129" s="163">
        <v>1000</v>
      </c>
      <c r="G129" s="184">
        <f t="shared" si="7"/>
        <v>0</v>
      </c>
    </row>
    <row r="130" spans="4:7">
      <c r="D130" s="163">
        <v>28</v>
      </c>
      <c r="E130" s="182">
        <f>MAX((C119-10-10-10-20-30-20-200-700-1000-1000),0)</f>
        <v>0</v>
      </c>
      <c r="F130" s="163"/>
      <c r="G130" s="184">
        <f t="shared" si="7"/>
        <v>0</v>
      </c>
    </row>
    <row r="131" spans="4:7">
      <c r="D131" s="163"/>
      <c r="E131" s="184"/>
      <c r="F131" s="163"/>
      <c r="G131" s="184">
        <f>SUM(G120:G130)</f>
        <v>712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84"/>
  <sheetViews>
    <sheetView zoomScale="39" zoomScaleNormal="39" workbookViewId="0">
      <selection activeCell="AC49" sqref="AC49"/>
    </sheetView>
  </sheetViews>
  <sheetFormatPr defaultRowHeight="14.25"/>
  <cols>
    <col min="2" max="2" width="14.875" customWidth="1"/>
    <col min="3" max="4" width="29.125" bestFit="1" customWidth="1"/>
    <col min="5" max="5" width="24.5" bestFit="1" customWidth="1"/>
    <col min="6" max="6" width="23" bestFit="1" customWidth="1"/>
    <col min="7" max="7" width="25.625" bestFit="1" customWidth="1"/>
    <col min="8" max="8" width="17" customWidth="1"/>
    <col min="9" max="9" width="25.625" bestFit="1" customWidth="1"/>
    <col min="10" max="10" width="17.625" bestFit="1" customWidth="1"/>
    <col min="11" max="14" width="25.625" bestFit="1" customWidth="1"/>
    <col min="15" max="15" width="14.125" bestFit="1" customWidth="1"/>
    <col min="16" max="16" width="13.75" customWidth="1"/>
    <col min="17" max="17" width="13.125" bestFit="1" customWidth="1"/>
    <col min="18" max="18" width="19.375" customWidth="1"/>
    <col min="19" max="19" width="17.5" bestFit="1" customWidth="1"/>
    <col min="21" max="21" width="14.875" bestFit="1" customWidth="1"/>
    <col min="22" max="22" width="21.375" bestFit="1" customWidth="1"/>
    <col min="23" max="23" width="20.375" bestFit="1" customWidth="1"/>
    <col min="24" max="25" width="14.125" bestFit="1" customWidth="1"/>
    <col min="27" max="27" width="14.125" bestFit="1" customWidth="1"/>
    <col min="28" max="28" width="14.875" bestFit="1" customWidth="1"/>
    <col min="29" max="29" width="17.375" bestFit="1" customWidth="1"/>
    <col min="30" max="31" width="14.125" bestFit="1" customWidth="1"/>
  </cols>
  <sheetData>
    <row r="1" spans="1:30">
      <c r="C1" s="1" t="s">
        <v>241</v>
      </c>
      <c r="D1" s="163" t="s">
        <v>26</v>
      </c>
      <c r="E1" s="163" t="s">
        <v>31</v>
      </c>
      <c r="F1" s="1" t="s">
        <v>298</v>
      </c>
      <c r="G1" s="1" t="s">
        <v>299</v>
      </c>
      <c r="H1" s="1" t="s">
        <v>300</v>
      </c>
      <c r="I1" s="1" t="s">
        <v>301</v>
      </c>
      <c r="J1" s="173" t="s">
        <v>273</v>
      </c>
      <c r="K1" s="1" t="s">
        <v>302</v>
      </c>
      <c r="L1" s="1" t="s">
        <v>58</v>
      </c>
      <c r="M1" s="1" t="s">
        <v>303</v>
      </c>
      <c r="N1" s="1" t="s">
        <v>304</v>
      </c>
      <c r="O1" s="1" t="s">
        <v>305</v>
      </c>
      <c r="P1" s="1" t="s">
        <v>306</v>
      </c>
    </row>
    <row r="2" spans="1:30">
      <c r="B2">
        <v>0</v>
      </c>
      <c r="C2">
        <v>12</v>
      </c>
      <c r="D2" s="158"/>
      <c r="E2" s="158"/>
      <c r="F2" s="158"/>
      <c r="G2" s="158"/>
      <c r="H2" s="158"/>
      <c r="I2" s="158"/>
      <c r="J2" s="158"/>
      <c r="K2" s="158"/>
      <c r="L2" s="158"/>
      <c r="M2" s="158">
        <f>'Inputs&amp;Assumptions'!B10</f>
        <v>4054584.6</v>
      </c>
      <c r="N2" s="158">
        <f>H2-(I2+J2+K2+L2+M2)</f>
        <v>-4054584.6</v>
      </c>
      <c r="O2" s="158">
        <f>N2:N2</f>
        <v>-4054584.6</v>
      </c>
      <c r="P2" s="158">
        <f>H2-(I2+J2+K2+L2)</f>
        <v>0</v>
      </c>
      <c r="U2" s="180" t="s">
        <v>307</v>
      </c>
      <c r="V2" s="180" t="s">
        <v>54</v>
      </c>
      <c r="W2" s="180" t="s">
        <v>239</v>
      </c>
      <c r="X2" s="180" t="s">
        <v>14</v>
      </c>
    </row>
    <row r="3" spans="1:30">
      <c r="U3" s="8">
        <f>U9</f>
        <v>19204355.682870593</v>
      </c>
      <c r="V3" s="6">
        <f>M2</f>
        <v>4054584.6</v>
      </c>
      <c r="W3" s="158">
        <f>'costv.1.1'!E92*12</f>
        <v>12575126.677980643</v>
      </c>
      <c r="X3" s="6">
        <f>SUM(U3:W3)</f>
        <v>35834066.960851237</v>
      </c>
      <c r="AA3" s="6">
        <f>V9</f>
        <v>35834066.960851237</v>
      </c>
      <c r="AB3" s="6">
        <f>V25</f>
        <v>37342475.119921073</v>
      </c>
      <c r="AC3" s="6">
        <f>V40</f>
        <v>38839802.492811061</v>
      </c>
    </row>
    <row r="4" spans="1:30" ht="15" thickBot="1">
      <c r="E4">
        <v>7.0000000000000007E-2</v>
      </c>
      <c r="F4" s="8">
        <f>H20</f>
        <v>14237209.449055193</v>
      </c>
      <c r="G4" s="8">
        <f>H36</f>
        <v>15355472.579043776</v>
      </c>
      <c r="H4" s="8">
        <f>H51</f>
        <v>16465520.933368564</v>
      </c>
      <c r="I4">
        <v>0.03</v>
      </c>
      <c r="J4">
        <v>0.03</v>
      </c>
      <c r="L4" s="6">
        <f>K8-'costv.1.1'!G131-'costv.1.1'!E91</f>
        <v>294765.66666666663</v>
      </c>
      <c r="M4" s="178">
        <v>3537188</v>
      </c>
      <c r="U4" s="180" t="s">
        <v>308</v>
      </c>
      <c r="V4" s="180" t="s">
        <v>309</v>
      </c>
      <c r="W4" t="s">
        <v>310</v>
      </c>
    </row>
    <row r="5" spans="1:30" ht="15.75" thickTop="1" thickBot="1">
      <c r="E5">
        <f>E4/12</f>
        <v>5.8333333333333336E-3</v>
      </c>
      <c r="K5" s="7"/>
      <c r="L5" s="6"/>
      <c r="M5" s="6"/>
      <c r="N5" s="6">
        <f>H8</f>
        <v>1148849.0186915887</v>
      </c>
      <c r="O5" s="6">
        <f>I8+J8+K8+L8</f>
        <v>1047927.2231650536</v>
      </c>
      <c r="P5" s="205" t="b">
        <f>IF(N5=O5,TRUE,FALSE)</f>
        <v>0</v>
      </c>
      <c r="U5" s="6">
        <f>Shareholding!E8</f>
        <v>55000000</v>
      </c>
      <c r="V5" s="8">
        <f>U5-X3</f>
        <v>19165933.039148763</v>
      </c>
      <c r="W5" s="6">
        <f>X3+V5</f>
        <v>55000000</v>
      </c>
    </row>
    <row r="6" spans="1:30" ht="15" thickTop="1">
      <c r="E6" s="164">
        <f>1+E5</f>
        <v>1.0058333333333334</v>
      </c>
      <c r="I6">
        <f>1+I4</f>
        <v>1.03</v>
      </c>
      <c r="J6">
        <f>1+J4</f>
        <v>1.03</v>
      </c>
      <c r="P6" s="6">
        <f>'Inputs&amp;Assumptions'!B35</f>
        <v>810916.92</v>
      </c>
      <c r="U6" s="6"/>
      <c r="V6" s="8"/>
      <c r="W6" s="6"/>
      <c r="AB6" s="7">
        <v>19948897</v>
      </c>
    </row>
    <row r="7" spans="1:30">
      <c r="C7" s="1" t="s">
        <v>241</v>
      </c>
      <c r="D7" s="163" t="s">
        <v>26</v>
      </c>
      <c r="E7" s="163" t="s">
        <v>31</v>
      </c>
      <c r="F7" s="1" t="s">
        <v>298</v>
      </c>
      <c r="G7" s="1" t="s">
        <v>299</v>
      </c>
      <c r="H7" s="1" t="s">
        <v>300</v>
      </c>
      <c r="I7" s="1" t="s">
        <v>301</v>
      </c>
      <c r="J7" s="173" t="s">
        <v>273</v>
      </c>
      <c r="K7" s="1" t="s">
        <v>302</v>
      </c>
      <c r="L7" s="1" t="s">
        <v>58</v>
      </c>
      <c r="M7" s="1" t="s">
        <v>303</v>
      </c>
      <c r="N7" s="1" t="s">
        <v>304</v>
      </c>
      <c r="O7" s="1" t="s">
        <v>305</v>
      </c>
      <c r="P7" s="1" t="s">
        <v>306</v>
      </c>
      <c r="W7">
        <v>0.5</v>
      </c>
      <c r="AB7" s="7">
        <v>18421392</v>
      </c>
    </row>
    <row r="8" spans="1:30">
      <c r="A8">
        <v>1</v>
      </c>
      <c r="B8">
        <v>1</v>
      </c>
      <c r="C8" t="s">
        <v>311</v>
      </c>
      <c r="D8" s="158">
        <f>'Inputs&amp;Assumptions'!B23</f>
        <v>1018.6915887850466</v>
      </c>
      <c r="E8" s="165">
        <f>'Inputs&amp;Assumptions'!B3</f>
        <v>2649</v>
      </c>
      <c r="F8" s="2">
        <f>D8*E8</f>
        <v>2698514.0186915887</v>
      </c>
      <c r="G8" s="2">
        <f>'Inputs&amp;Assumptions'!$B$4*E8</f>
        <v>1549665</v>
      </c>
      <c r="H8" s="2">
        <f>F8-G8</f>
        <v>1148849.0186915887</v>
      </c>
      <c r="I8" s="2">
        <f>'Inputs&amp;Assumptions'!$B$5</f>
        <v>430000</v>
      </c>
      <c r="J8" s="158">
        <f>'costv.1.1'!E116</f>
        <v>680.12408800000048</v>
      </c>
      <c r="K8" s="7">
        <f>'costv.1.1'!E92-J8-I8-L8</f>
        <v>606692.0990770536</v>
      </c>
      <c r="L8" s="2">
        <f>'Inputs&amp;Assumptions'!B13</f>
        <v>10555</v>
      </c>
      <c r="M8" s="2">
        <v>0</v>
      </c>
      <c r="N8" s="2">
        <f>H8-(I8+L8+M8+J8+K8)</f>
        <v>100921.79552653502</v>
      </c>
      <c r="O8" s="8">
        <f>N8+O2</f>
        <v>-3953662.8044734653</v>
      </c>
      <c r="P8" s="198">
        <f>H8-(I8+J8+K8+L8)</f>
        <v>100921.79552653502</v>
      </c>
      <c r="S8" s="165">
        <f>SUM(E8:E19)</f>
        <v>32827.95843225743</v>
      </c>
      <c r="U8" t="s">
        <v>307</v>
      </c>
      <c r="V8" t="s">
        <v>312</v>
      </c>
      <c r="W8" t="s">
        <v>313</v>
      </c>
      <c r="AB8" s="7">
        <v>540000</v>
      </c>
    </row>
    <row r="9" spans="1:30">
      <c r="A9">
        <v>2</v>
      </c>
      <c r="B9">
        <v>2</v>
      </c>
      <c r="C9" t="s">
        <v>314</v>
      </c>
      <c r="D9" s="158">
        <f>D8</f>
        <v>1018.6915887850466</v>
      </c>
      <c r="E9" s="165">
        <f t="shared" ref="E9:E19" si="0">$E$8*$E$6^A8</f>
        <v>2664.4524999999999</v>
      </c>
      <c r="F9" s="2">
        <f t="shared" ref="F9:F19" si="1">D9*E9</f>
        <v>2714255.3504672893</v>
      </c>
      <c r="G9" s="2">
        <f>'Inputs&amp;Assumptions'!$B$4*E9</f>
        <v>1558704.7124999999</v>
      </c>
      <c r="H9" s="2">
        <f>F9-G9</f>
        <v>1155550.6379672894</v>
      </c>
      <c r="I9" s="2">
        <f>I8</f>
        <v>430000</v>
      </c>
      <c r="J9" s="158">
        <f>J8</f>
        <v>680.12408800000048</v>
      </c>
      <c r="K9" s="7">
        <f>K8</f>
        <v>606692.0990770536</v>
      </c>
      <c r="L9" s="2">
        <f>L8</f>
        <v>10555</v>
      </c>
      <c r="M9" s="2">
        <v>0</v>
      </c>
      <c r="N9" s="2">
        <f>H9-(I9+L9+M9+J9+K9)</f>
        <v>107623.41480223578</v>
      </c>
      <c r="O9" s="8">
        <f>O8+N9</f>
        <v>-3846039.3896712298</v>
      </c>
      <c r="P9" s="198">
        <f t="shared" ref="P9:P72" si="2">H9-(I9+J9+K9+L9)</f>
        <v>107623.41480223578</v>
      </c>
      <c r="R9" s="8">
        <f>SUM(G8:G19)</f>
        <v>19204355.682870593</v>
      </c>
      <c r="S9" s="158">
        <f>S8*D8</f>
        <v>33441565.131925792</v>
      </c>
      <c r="U9" s="8">
        <f>G20</f>
        <v>19204355.682870593</v>
      </c>
      <c r="V9" s="6">
        <f>U9+'Inputs&amp;Assumptions'!$B$10+('costv.1.1'!$E$92*12)</f>
        <v>35834066.960851237</v>
      </c>
      <c r="W9" s="6">
        <f>V9*W7</f>
        <v>17917033.480425619</v>
      </c>
      <c r="Y9" s="6"/>
      <c r="AB9" s="7">
        <v>632004</v>
      </c>
    </row>
    <row r="10" spans="1:30">
      <c r="A10">
        <v>3</v>
      </c>
      <c r="B10">
        <v>3</v>
      </c>
      <c r="C10" t="s">
        <v>315</v>
      </c>
      <c r="D10" s="158">
        <f t="shared" ref="D10:D19" si="3">D9</f>
        <v>1018.6915887850466</v>
      </c>
      <c r="E10" s="165">
        <f t="shared" si="0"/>
        <v>2679.9951395833332</v>
      </c>
      <c r="F10" s="2">
        <f t="shared" si="1"/>
        <v>2730088.5066783484</v>
      </c>
      <c r="G10" s="2">
        <f>'Inputs&amp;Assumptions'!$B$4*E10</f>
        <v>1567797.1566562499</v>
      </c>
      <c r="H10" s="2">
        <f t="shared" ref="H10:H19" si="4">F10-G10</f>
        <v>1162291.3500220985</v>
      </c>
      <c r="I10" s="2">
        <f t="shared" ref="I10:K19" si="5">I9</f>
        <v>430000</v>
      </c>
      <c r="J10" s="158">
        <f t="shared" si="5"/>
        <v>680.12408800000048</v>
      </c>
      <c r="K10" s="7">
        <f t="shared" si="5"/>
        <v>606692.0990770536</v>
      </c>
      <c r="L10" s="2">
        <f t="shared" ref="L10:L19" si="6">L9</f>
        <v>10555</v>
      </c>
      <c r="M10" s="2">
        <v>0</v>
      </c>
      <c r="N10" s="2">
        <f t="shared" ref="N10:N19" si="7">H10-(I10+L10+M10+J10+K10)</f>
        <v>114364.12685704487</v>
      </c>
      <c r="O10" s="8">
        <f t="shared" ref="O10:O19" si="8">O9+N10</f>
        <v>-3731675.2628141847</v>
      </c>
      <c r="P10" s="198">
        <f t="shared" si="2"/>
        <v>114364.12685704487</v>
      </c>
      <c r="U10" s="6"/>
      <c r="AB10" s="7">
        <v>732000</v>
      </c>
    </row>
    <row r="11" spans="1:30">
      <c r="A11">
        <v>4</v>
      </c>
      <c r="B11">
        <v>4</v>
      </c>
      <c r="C11" t="s">
        <v>316</v>
      </c>
      <c r="D11" s="158">
        <f t="shared" si="3"/>
        <v>1018.6915887850466</v>
      </c>
      <c r="E11" s="165">
        <f t="shared" si="0"/>
        <v>2695.6284445642364</v>
      </c>
      <c r="F11" s="2">
        <f t="shared" si="1"/>
        <v>2746014.022967306</v>
      </c>
      <c r="G11" s="2">
        <f>'Inputs&amp;Assumptions'!$B$4*E11</f>
        <v>1576942.6400700782</v>
      </c>
      <c r="H11" s="2">
        <f t="shared" si="4"/>
        <v>1169071.3828972278</v>
      </c>
      <c r="I11" s="2">
        <f t="shared" si="5"/>
        <v>430000</v>
      </c>
      <c r="J11" s="158">
        <f t="shared" si="5"/>
        <v>680.12408800000048</v>
      </c>
      <c r="K11" s="7">
        <f t="shared" si="5"/>
        <v>606692.0990770536</v>
      </c>
      <c r="L11" s="2">
        <f t="shared" si="6"/>
        <v>10555</v>
      </c>
      <c r="M11" s="2">
        <v>0</v>
      </c>
      <c r="N11" s="2">
        <f t="shared" si="7"/>
        <v>121144.15973217413</v>
      </c>
      <c r="O11" s="8">
        <f t="shared" si="8"/>
        <v>-3610531.1030820105</v>
      </c>
      <c r="P11" s="198">
        <f t="shared" si="2"/>
        <v>121144.15973217413</v>
      </c>
      <c r="R11" s="180" t="s">
        <v>317</v>
      </c>
      <c r="S11" s="6"/>
      <c r="V11" t="s">
        <v>318</v>
      </c>
      <c r="AB11" s="178">
        <v>3734573.19</v>
      </c>
    </row>
    <row r="12" spans="1:30">
      <c r="A12">
        <v>5</v>
      </c>
      <c r="B12">
        <v>5</v>
      </c>
      <c r="C12" t="s">
        <v>319</v>
      </c>
      <c r="D12" s="158">
        <f t="shared" si="3"/>
        <v>1018.6915887850466</v>
      </c>
      <c r="E12" s="165">
        <f t="shared" si="0"/>
        <v>2711.3529438241944</v>
      </c>
      <c r="F12" s="2">
        <f t="shared" si="1"/>
        <v>2762032.4381012819</v>
      </c>
      <c r="G12" s="2">
        <f>'Inputs&amp;Assumptions'!$B$4*E12</f>
        <v>1586141.4721371538</v>
      </c>
      <c r="H12" s="2">
        <f t="shared" si="4"/>
        <v>1175890.965964128</v>
      </c>
      <c r="I12" s="2">
        <f t="shared" si="5"/>
        <v>430000</v>
      </c>
      <c r="J12" s="158">
        <f t="shared" si="5"/>
        <v>680.12408800000048</v>
      </c>
      <c r="K12" s="7">
        <f t="shared" si="5"/>
        <v>606692.0990770536</v>
      </c>
      <c r="L12" s="2">
        <f t="shared" si="6"/>
        <v>10555</v>
      </c>
      <c r="M12" s="2">
        <v>0</v>
      </c>
      <c r="N12" s="2">
        <f t="shared" si="7"/>
        <v>127963.74279907439</v>
      </c>
      <c r="O12" s="8">
        <f t="shared" si="8"/>
        <v>-3482567.3602829361</v>
      </c>
      <c r="P12" s="198">
        <f t="shared" si="2"/>
        <v>127963.74279907439</v>
      </c>
      <c r="R12" s="4">
        <f>R9/S9</f>
        <v>0.57426605504587147</v>
      </c>
      <c r="S12" s="6"/>
      <c r="V12" s="6">
        <f>V9+W9</f>
        <v>53751100.441276856</v>
      </c>
      <c r="AB12" s="7">
        <v>2053986</v>
      </c>
    </row>
    <row r="13" spans="1:30">
      <c r="A13">
        <v>6</v>
      </c>
      <c r="B13">
        <v>6</v>
      </c>
      <c r="C13" t="s">
        <v>320</v>
      </c>
      <c r="D13" s="158">
        <f t="shared" si="3"/>
        <v>1018.6915887850466</v>
      </c>
      <c r="E13" s="165">
        <f t="shared" si="0"/>
        <v>2727.1691693298358</v>
      </c>
      <c r="F13" s="2">
        <f t="shared" si="1"/>
        <v>2778144.2939902064</v>
      </c>
      <c r="G13" s="2">
        <f>'Inputs&amp;Assumptions'!$B$4*E13</f>
        <v>1595393.964057954</v>
      </c>
      <c r="H13" s="2">
        <f t="shared" si="4"/>
        <v>1182750.3299322524</v>
      </c>
      <c r="I13" s="2">
        <f t="shared" si="5"/>
        <v>430000</v>
      </c>
      <c r="J13" s="158">
        <f t="shared" si="5"/>
        <v>680.12408800000048</v>
      </c>
      <c r="K13" s="7">
        <f t="shared" si="5"/>
        <v>606692.0990770536</v>
      </c>
      <c r="L13" s="2">
        <f t="shared" si="6"/>
        <v>10555</v>
      </c>
      <c r="M13" s="2">
        <v>0</v>
      </c>
      <c r="N13" s="2">
        <f t="shared" si="7"/>
        <v>134823.10676719877</v>
      </c>
      <c r="O13" s="8">
        <f t="shared" si="8"/>
        <v>-3347744.2535157371</v>
      </c>
      <c r="P13" s="198">
        <f t="shared" si="2"/>
        <v>134823.10676719877</v>
      </c>
      <c r="U13" s="6"/>
      <c r="V13" s="8"/>
      <c r="W13" s="6"/>
      <c r="AB13" t="s">
        <v>14</v>
      </c>
      <c r="AC13" t="s">
        <v>321</v>
      </c>
      <c r="AD13" t="s">
        <v>322</v>
      </c>
    </row>
    <row r="14" spans="1:30">
      <c r="A14">
        <v>7</v>
      </c>
      <c r="B14">
        <v>7</v>
      </c>
      <c r="C14" t="s">
        <v>323</v>
      </c>
      <c r="D14" s="158">
        <f t="shared" si="3"/>
        <v>1018.6915887850466</v>
      </c>
      <c r="E14" s="165">
        <f t="shared" si="0"/>
        <v>2743.0776561509265</v>
      </c>
      <c r="F14" s="2">
        <f t="shared" si="1"/>
        <v>2794350.1357051493</v>
      </c>
      <c r="G14" s="2">
        <f>'Inputs&amp;Assumptions'!$B$4*E14</f>
        <v>1604700.428848292</v>
      </c>
      <c r="H14" s="2">
        <f t="shared" si="4"/>
        <v>1189649.7068568573</v>
      </c>
      <c r="I14" s="2">
        <f t="shared" si="5"/>
        <v>430000</v>
      </c>
      <c r="J14" s="158">
        <f t="shared" si="5"/>
        <v>680.12408800000048</v>
      </c>
      <c r="K14" s="7">
        <f t="shared" si="5"/>
        <v>606692.0990770536</v>
      </c>
      <c r="L14" s="2">
        <f t="shared" si="6"/>
        <v>10555</v>
      </c>
      <c r="M14" s="2">
        <v>0</v>
      </c>
      <c r="N14" s="2">
        <f t="shared" si="7"/>
        <v>141722.48369180365</v>
      </c>
      <c r="O14" s="8">
        <f t="shared" si="8"/>
        <v>-3206021.7698239335</v>
      </c>
      <c r="P14" s="198">
        <f t="shared" si="2"/>
        <v>141722.48369180365</v>
      </c>
      <c r="U14" s="6"/>
      <c r="V14" s="6">
        <f>P20+W15</f>
        <v>1662082.7710745474</v>
      </c>
      <c r="W14" s="6"/>
      <c r="AA14" s="6">
        <f>W5</f>
        <v>55000000</v>
      </c>
      <c r="AB14" s="7">
        <f>SUM(AB6:AB12)</f>
        <v>46062852.189999998</v>
      </c>
      <c r="AC14" s="6">
        <f>AA14-AB14</f>
        <v>8937147.8100000024</v>
      </c>
      <c r="AD14" s="6">
        <f>AB14+AC14</f>
        <v>55000000</v>
      </c>
    </row>
    <row r="15" spans="1:30">
      <c r="A15">
        <v>8</v>
      </c>
      <c r="B15">
        <v>8</v>
      </c>
      <c r="C15" t="s">
        <v>324</v>
      </c>
      <c r="D15" s="158">
        <f t="shared" si="3"/>
        <v>1018.6915887850466</v>
      </c>
      <c r="E15" s="165">
        <f t="shared" si="0"/>
        <v>2759.0789424784734</v>
      </c>
      <c r="F15" s="2">
        <f>D15*E15</f>
        <v>2810650.5114967623</v>
      </c>
      <c r="G15" s="2">
        <f>'Inputs&amp;Assumptions'!$B$4*E15</f>
        <v>1614061.1813499071</v>
      </c>
      <c r="H15" s="2">
        <f t="shared" si="4"/>
        <v>1196589.3301468552</v>
      </c>
      <c r="I15" s="2">
        <f t="shared" si="5"/>
        <v>430000</v>
      </c>
      <c r="J15" s="158">
        <f t="shared" si="5"/>
        <v>680.12408800000048</v>
      </c>
      <c r="K15" s="7">
        <f t="shared" si="5"/>
        <v>606692.0990770536</v>
      </c>
      <c r="L15" s="2">
        <f t="shared" si="6"/>
        <v>10555</v>
      </c>
      <c r="M15" s="2">
        <v>0</v>
      </c>
      <c r="N15" s="2">
        <f t="shared" si="7"/>
        <v>148662.10698180157</v>
      </c>
      <c r="O15" s="8">
        <f t="shared" si="8"/>
        <v>-3057359.6628421322</v>
      </c>
      <c r="P15" s="198">
        <f t="shared" si="2"/>
        <v>148662.10698180157</v>
      </c>
      <c r="U15" s="6"/>
      <c r="V15" s="8">
        <f>V9-$M$2</f>
        <v>31779482.360851236</v>
      </c>
      <c r="W15" s="6">
        <f>'Inputs&amp;Assumptions'!B35</f>
        <v>810916.92</v>
      </c>
    </row>
    <row r="16" spans="1:30">
      <c r="A16">
        <v>9</v>
      </c>
      <c r="B16">
        <v>9</v>
      </c>
      <c r="C16" t="s">
        <v>325</v>
      </c>
      <c r="D16" s="158">
        <f t="shared" si="3"/>
        <v>1018.6915887850466</v>
      </c>
      <c r="E16" s="165">
        <f t="shared" si="0"/>
        <v>2775.1735696429314</v>
      </c>
      <c r="F16" s="2">
        <f>D16*E16</f>
        <v>2827045.972813827</v>
      </c>
      <c r="G16" s="2">
        <f>'Inputs&amp;Assumptions'!$B$4*E16</f>
        <v>1623476.5382411149</v>
      </c>
      <c r="H16" s="2">
        <f t="shared" si="4"/>
        <v>1203569.4345727121</v>
      </c>
      <c r="I16" s="2">
        <f t="shared" si="5"/>
        <v>430000</v>
      </c>
      <c r="J16" s="158">
        <f t="shared" si="5"/>
        <v>680.12408800000048</v>
      </c>
      <c r="K16" s="7">
        <f t="shared" si="5"/>
        <v>606692.0990770536</v>
      </c>
      <c r="L16" s="2">
        <f t="shared" si="6"/>
        <v>10555</v>
      </c>
      <c r="M16" s="2">
        <v>0</v>
      </c>
      <c r="N16" s="2">
        <f>H16-(I16+L16+M16+J16+K16)</f>
        <v>155642.21140765841</v>
      </c>
      <c r="O16" s="8">
        <f t="shared" si="8"/>
        <v>-2901717.4514344735</v>
      </c>
      <c r="P16" s="198">
        <f t="shared" si="2"/>
        <v>155642.21140765841</v>
      </c>
      <c r="U16" s="6"/>
      <c r="V16" s="171">
        <f>((P20+W15)/V15)</f>
        <v>5.2300498548146501E-2</v>
      </c>
      <c r="W16" s="6"/>
    </row>
    <row r="17" spans="1:30">
      <c r="A17">
        <v>10</v>
      </c>
      <c r="B17">
        <v>10</v>
      </c>
      <c r="C17" t="s">
        <v>326</v>
      </c>
      <c r="D17" s="158">
        <f t="shared" si="3"/>
        <v>1018.6915887850466</v>
      </c>
      <c r="E17" s="165">
        <f t="shared" si="0"/>
        <v>2791.3620821325153</v>
      </c>
      <c r="F17" s="2">
        <f t="shared" si="1"/>
        <v>2843537.0743219079</v>
      </c>
      <c r="G17" s="2">
        <f>'Inputs&amp;Assumptions'!$B$4*E17</f>
        <v>1632946.8180475214</v>
      </c>
      <c r="H17" s="2">
        <f t="shared" si="4"/>
        <v>1210590.2562743865</v>
      </c>
      <c r="I17" s="2">
        <f t="shared" si="5"/>
        <v>430000</v>
      </c>
      <c r="J17" s="158">
        <f t="shared" si="5"/>
        <v>680.12408800000048</v>
      </c>
      <c r="K17" s="7">
        <f t="shared" si="5"/>
        <v>606692.0990770536</v>
      </c>
      <c r="L17" s="2">
        <f t="shared" si="6"/>
        <v>10555</v>
      </c>
      <c r="M17" s="2">
        <v>0</v>
      </c>
      <c r="N17" s="2">
        <f t="shared" si="7"/>
        <v>162663.0331093329</v>
      </c>
      <c r="O17" s="8">
        <f t="shared" si="8"/>
        <v>-2739054.4183251406</v>
      </c>
      <c r="P17" s="198">
        <f>H17-(I17+J17+K17+L17)</f>
        <v>162663.0331093329</v>
      </c>
      <c r="U17" s="6"/>
      <c r="V17" s="8"/>
      <c r="W17" s="6"/>
    </row>
    <row r="18" spans="1:30">
      <c r="A18">
        <v>11</v>
      </c>
      <c r="B18">
        <v>11</v>
      </c>
      <c r="C18" t="s">
        <v>327</v>
      </c>
      <c r="D18" s="158">
        <f t="shared" si="3"/>
        <v>1018.6915887850466</v>
      </c>
      <c r="E18" s="165">
        <f t="shared" si="0"/>
        <v>2807.6450276116216</v>
      </c>
      <c r="F18" s="2">
        <f t="shared" si="1"/>
        <v>2860124.3739221189</v>
      </c>
      <c r="G18" s="2">
        <f>'Inputs&amp;Assumptions'!$B$4*E18</f>
        <v>1642472.3411527986</v>
      </c>
      <c r="H18" s="2">
        <f t="shared" si="4"/>
        <v>1217652.0327693203</v>
      </c>
      <c r="I18" s="2">
        <f t="shared" si="5"/>
        <v>430000</v>
      </c>
      <c r="J18" s="158">
        <f t="shared" si="5"/>
        <v>680.12408800000048</v>
      </c>
      <c r="K18" s="7">
        <f t="shared" si="5"/>
        <v>606692.0990770536</v>
      </c>
      <c r="L18" s="2">
        <f t="shared" si="6"/>
        <v>10555</v>
      </c>
      <c r="M18" s="2">
        <v>0</v>
      </c>
      <c r="N18" s="2">
        <f t="shared" si="7"/>
        <v>169724.80960426666</v>
      </c>
      <c r="O18" s="8">
        <f t="shared" si="8"/>
        <v>-2569329.6087208739</v>
      </c>
      <c r="P18" s="198">
        <f t="shared" si="2"/>
        <v>169724.80960426666</v>
      </c>
      <c r="U18" s="6"/>
    </row>
    <row r="19" spans="1:30">
      <c r="A19">
        <v>12</v>
      </c>
      <c r="B19">
        <v>12</v>
      </c>
      <c r="C19" t="s">
        <v>328</v>
      </c>
      <c r="D19" s="158">
        <f t="shared" si="3"/>
        <v>1018.6915887850466</v>
      </c>
      <c r="E19" s="165">
        <f t="shared" si="0"/>
        <v>2824.0229569393564</v>
      </c>
      <c r="F19" s="2">
        <f t="shared" si="1"/>
        <v>2876808.4327699984</v>
      </c>
      <c r="G19" s="2">
        <f>'Inputs&amp;Assumptions'!$B$4*E19</f>
        <v>1652053.4298095235</v>
      </c>
      <c r="H19" s="2">
        <f t="shared" si="4"/>
        <v>1224755.0029604749</v>
      </c>
      <c r="I19" s="2">
        <f t="shared" si="5"/>
        <v>430000</v>
      </c>
      <c r="J19" s="158">
        <f t="shared" si="5"/>
        <v>680.12408800000048</v>
      </c>
      <c r="K19" s="7">
        <f t="shared" si="5"/>
        <v>606692.0990770536</v>
      </c>
      <c r="L19" s="2">
        <f t="shared" si="6"/>
        <v>10555</v>
      </c>
      <c r="M19" s="2">
        <v>0</v>
      </c>
      <c r="N19" s="2">
        <f t="shared" si="7"/>
        <v>176827.77979542129</v>
      </c>
      <c r="O19" s="8">
        <f t="shared" si="8"/>
        <v>-2392501.8289254527</v>
      </c>
      <c r="P19" s="198">
        <f t="shared" si="2"/>
        <v>176827.77979542129</v>
      </c>
      <c r="Q19" s="180" t="s">
        <v>329</v>
      </c>
      <c r="R19" s="204" t="s">
        <v>330</v>
      </c>
      <c r="S19" t="s">
        <v>331</v>
      </c>
      <c r="AB19" s="158">
        <f>U9</f>
        <v>19204355.682870593</v>
      </c>
      <c r="AC19" s="158">
        <f>430000*12</f>
        <v>5160000</v>
      </c>
      <c r="AD19" s="158">
        <f>'Inputs&amp;Assumptions'!B13</f>
        <v>10555</v>
      </c>
    </row>
    <row r="20" spans="1:30">
      <c r="D20" s="158"/>
      <c r="E20" s="207">
        <f t="shared" ref="E20:L20" si="9">SUM(E8:E19)</f>
        <v>32827.95843225743</v>
      </c>
      <c r="F20" s="196">
        <f t="shared" si="9"/>
        <v>33441565.131925784</v>
      </c>
      <c r="G20" s="196">
        <f t="shared" si="9"/>
        <v>19204355.682870593</v>
      </c>
      <c r="H20" s="196">
        <f t="shared" si="9"/>
        <v>14237209.449055193</v>
      </c>
      <c r="I20" s="196">
        <f t="shared" si="9"/>
        <v>5160000</v>
      </c>
      <c r="J20" s="196">
        <f t="shared" si="9"/>
        <v>8161.4890560000058</v>
      </c>
      <c r="K20" s="196">
        <f t="shared" si="9"/>
        <v>7280305.1889246413</v>
      </c>
      <c r="L20" s="196">
        <f t="shared" si="9"/>
        <v>126660</v>
      </c>
      <c r="N20" s="8"/>
      <c r="O20" s="6">
        <f>SUM(P8:P19)</f>
        <v>1662082.7710745474</v>
      </c>
      <c r="P20" s="6">
        <f>O20-P6</f>
        <v>851165.85107454739</v>
      </c>
      <c r="Q20" s="6">
        <f>Tax!V7</f>
        <v>0</v>
      </c>
      <c r="R20" s="204">
        <f>Tax!T10</f>
        <v>54142.674141073207</v>
      </c>
      <c r="S20" s="189">
        <f>P20-Q20-R20</f>
        <v>797023.17693347414</v>
      </c>
      <c r="AC20" t="s">
        <v>14</v>
      </c>
    </row>
    <row r="21" spans="1:30">
      <c r="C21" t="s">
        <v>332</v>
      </c>
      <c r="D21" s="158"/>
      <c r="E21" s="165"/>
      <c r="F21" s="8">
        <f>AVERAGE(F8:F19)</f>
        <v>2786797.0943271485</v>
      </c>
      <c r="G21" s="8">
        <f t="shared" ref="G21:I21" si="10">AVERAGE(G8:G19)</f>
        <v>1600362.9735725494</v>
      </c>
      <c r="H21" s="8">
        <f>AVERAGE(H8:H19)</f>
        <v>1186434.1207545993</v>
      </c>
      <c r="I21" s="8">
        <f t="shared" si="10"/>
        <v>430000</v>
      </c>
      <c r="J21" s="158"/>
      <c r="L21" s="8">
        <f>AVERAGE(L8:L19)</f>
        <v>10555</v>
      </c>
      <c r="M21" s="8">
        <f>AVERAGE(M8:M19)</f>
        <v>0</v>
      </c>
      <c r="N21" s="8">
        <f>AVERAGE(N8:N20)</f>
        <v>138506.89758954561</v>
      </c>
      <c r="P21" s="6"/>
      <c r="U21" s="6"/>
      <c r="AC21" s="6">
        <f>AB19+AC19+AD19</f>
        <v>24374910.682870593</v>
      </c>
    </row>
    <row r="22" spans="1:30">
      <c r="D22" s="158"/>
      <c r="E22" s="165"/>
      <c r="J22" s="158"/>
      <c r="P22" s="6">
        <f>'Inputs&amp;Assumptions'!B36</f>
        <v>810916.92</v>
      </c>
      <c r="U22" s="6"/>
    </row>
    <row r="23" spans="1:30">
      <c r="C23" s="1" t="s">
        <v>241</v>
      </c>
      <c r="D23" s="182" t="s">
        <v>26</v>
      </c>
      <c r="E23" s="166" t="s">
        <v>31</v>
      </c>
      <c r="F23" s="1" t="s">
        <v>298</v>
      </c>
      <c r="G23" s="1" t="s">
        <v>299</v>
      </c>
      <c r="H23" s="1" t="s">
        <v>300</v>
      </c>
      <c r="I23" s="1" t="s">
        <v>301</v>
      </c>
      <c r="J23" s="173" t="s">
        <v>273</v>
      </c>
      <c r="K23" s="1" t="s">
        <v>302</v>
      </c>
      <c r="L23" s="1" t="s">
        <v>58</v>
      </c>
      <c r="M23" s="1" t="s">
        <v>303</v>
      </c>
      <c r="N23" s="1" t="s">
        <v>304</v>
      </c>
      <c r="O23" s="1" t="s">
        <v>305</v>
      </c>
      <c r="P23" s="1" t="s">
        <v>306</v>
      </c>
      <c r="W23">
        <v>0.5</v>
      </c>
    </row>
    <row r="24" spans="1:30">
      <c r="A24">
        <v>13</v>
      </c>
      <c r="B24">
        <v>1</v>
      </c>
      <c r="C24" t="s">
        <v>311</v>
      </c>
      <c r="D24" s="158">
        <f>D19</f>
        <v>1018.6915887850466</v>
      </c>
      <c r="E24" s="165">
        <f t="shared" ref="E24:E35" si="11">$E$8*$E$6^A24</f>
        <v>2857.0659866626002</v>
      </c>
      <c r="F24" s="2">
        <f>D24*E24</f>
        <v>2910469.0892170412</v>
      </c>
      <c r="G24" s="2">
        <f>'Inputs&amp;Assumptions'!$B$4*E24</f>
        <v>1671383.602197621</v>
      </c>
      <c r="H24" s="2">
        <f t="shared" ref="H24:H35" si="12">F24-G24</f>
        <v>1239085.4870194201</v>
      </c>
      <c r="I24" s="2">
        <f>I19*I6</f>
        <v>442900</v>
      </c>
      <c r="J24" s="158">
        <f>J19*J6</f>
        <v>700.52781064000055</v>
      </c>
      <c r="K24" s="7">
        <f>K19</f>
        <v>606692.0990770536</v>
      </c>
      <c r="L24" s="2">
        <f>'Inputs&amp;Assumptions'!B14</f>
        <v>10587.249999999998</v>
      </c>
      <c r="M24" s="2">
        <v>0</v>
      </c>
      <c r="N24" s="2">
        <f>H24-(I24+L24+M24+J24+K24)</f>
        <v>178205.6101317266</v>
      </c>
      <c r="O24" s="8">
        <f>O19+N24-(Q20+R20)</f>
        <v>-2268438.8929347992</v>
      </c>
      <c r="P24" s="198">
        <f t="shared" si="2"/>
        <v>178205.6101317266</v>
      </c>
      <c r="S24" s="165">
        <f>SUM(E24:E35)</f>
        <v>35406.43391784688</v>
      </c>
      <c r="U24" t="s">
        <v>307</v>
      </c>
      <c r="V24" t="s">
        <v>312</v>
      </c>
      <c r="W24" t="s">
        <v>313</v>
      </c>
    </row>
    <row r="25" spans="1:30">
      <c r="A25">
        <v>14</v>
      </c>
      <c r="B25">
        <v>2</v>
      </c>
      <c r="C25" t="s">
        <v>314</v>
      </c>
      <c r="D25" s="158">
        <f>D24</f>
        <v>1018.6915887850466</v>
      </c>
      <c r="E25" s="165">
        <f t="shared" si="11"/>
        <v>2873.7322049181325</v>
      </c>
      <c r="F25" s="2">
        <f t="shared" ref="F25:F35" si="13">D25*E25</f>
        <v>2927446.8255708078</v>
      </c>
      <c r="G25" s="2">
        <f>'Inputs&amp;Assumptions'!$B$4*E25</f>
        <v>1681133.3398771076</v>
      </c>
      <c r="H25" s="2">
        <f t="shared" si="12"/>
        <v>1246313.4856937001</v>
      </c>
      <c r="I25" s="2">
        <f>I24</f>
        <v>442900</v>
      </c>
      <c r="J25" s="158">
        <f>J24</f>
        <v>700.52781064000055</v>
      </c>
      <c r="K25" s="7">
        <f>K24</f>
        <v>606692.0990770536</v>
      </c>
      <c r="L25" s="2">
        <f>L24</f>
        <v>10587.249999999998</v>
      </c>
      <c r="M25" s="2">
        <v>0</v>
      </c>
      <c r="N25" s="2">
        <f t="shared" ref="N25:N35" si="14">H25-(I25+L25+M25+J25+K25)</f>
        <v>185433.60880600661</v>
      </c>
      <c r="O25" s="8">
        <f>O24+N25</f>
        <v>-2083005.2841287926</v>
      </c>
      <c r="P25" s="198">
        <f t="shared" si="2"/>
        <v>185433.60880600661</v>
      </c>
      <c r="R25" s="8">
        <f>SUM(G24:G35)</f>
        <v>20712763.841940425</v>
      </c>
      <c r="S25" s="158">
        <f>S24*D24</f>
        <v>36068236.420984201</v>
      </c>
      <c r="U25" s="8">
        <f>G36</f>
        <v>20712763.841940425</v>
      </c>
      <c r="V25" s="6">
        <f>U25+'Inputs&amp;Assumptions'!$B$10+('costv.1.1'!$E$92*12)</f>
        <v>37342475.119921073</v>
      </c>
      <c r="W25" s="6">
        <f>V25*W23</f>
        <v>18671237.559960537</v>
      </c>
      <c r="Z25">
        <v>1</v>
      </c>
      <c r="AA25" s="6">
        <f>F20</f>
        <v>33441565.131925784</v>
      </c>
      <c r="AB25">
        <v>1</v>
      </c>
      <c r="AC25" s="171">
        <f>(AA26-AA25)/AA25</f>
        <v>7.8545106327897407E-2</v>
      </c>
    </row>
    <row r="26" spans="1:30">
      <c r="A26">
        <v>15</v>
      </c>
      <c r="B26">
        <v>3</v>
      </c>
      <c r="C26" t="s">
        <v>315</v>
      </c>
      <c r="D26" s="158">
        <f t="shared" ref="D26:D35" si="15">D25</f>
        <v>1018.6915887850466</v>
      </c>
      <c r="E26" s="165">
        <f t="shared" si="11"/>
        <v>2890.495642780154</v>
      </c>
      <c r="F26" s="2">
        <f t="shared" si="13"/>
        <v>2944523.5987199699</v>
      </c>
      <c r="G26" s="2">
        <f>'Inputs&amp;Assumptions'!$B$4*E26</f>
        <v>1690939.9510263901</v>
      </c>
      <c r="H26" s="2">
        <f t="shared" si="12"/>
        <v>1253583.6476935798</v>
      </c>
      <c r="I26" s="2">
        <f t="shared" ref="I26:K35" si="16">I25</f>
        <v>442900</v>
      </c>
      <c r="J26" s="158">
        <f t="shared" si="16"/>
        <v>700.52781064000055</v>
      </c>
      <c r="K26" s="7">
        <f t="shared" si="16"/>
        <v>606692.0990770536</v>
      </c>
      <c r="L26" s="2">
        <f t="shared" ref="L26:L35" si="17">L25</f>
        <v>10587.249999999998</v>
      </c>
      <c r="M26" s="2">
        <v>0</v>
      </c>
      <c r="N26" s="2">
        <f t="shared" si="14"/>
        <v>192703.77080588625</v>
      </c>
      <c r="O26" s="8">
        <f t="shared" ref="O26:O35" si="18">O25+N26</f>
        <v>-1890301.5133229063</v>
      </c>
      <c r="P26" s="198">
        <f t="shared" si="2"/>
        <v>192703.77080588625</v>
      </c>
      <c r="U26" s="6"/>
      <c r="Z26">
        <v>2</v>
      </c>
      <c r="AA26" s="6">
        <f>F36</f>
        <v>36068236.420984201</v>
      </c>
      <c r="AB26">
        <v>2</v>
      </c>
      <c r="AC26" s="171">
        <f>(AA27-AA26)/AA26</f>
        <v>7.2290080856235769E-2</v>
      </c>
    </row>
    <row r="27" spans="1:30">
      <c r="A27">
        <v>16</v>
      </c>
      <c r="B27">
        <v>4</v>
      </c>
      <c r="C27" t="s">
        <v>316</v>
      </c>
      <c r="D27" s="158">
        <f t="shared" si="15"/>
        <v>1018.6915887850466</v>
      </c>
      <c r="E27" s="165">
        <f t="shared" si="11"/>
        <v>2907.3568673630389</v>
      </c>
      <c r="F27" s="2">
        <f t="shared" si="13"/>
        <v>2961699.9863791703</v>
      </c>
      <c r="G27" s="2">
        <f>'Inputs&amp;Assumptions'!$B$4*E27</f>
        <v>1700803.7674073777</v>
      </c>
      <c r="H27" s="2">
        <f t="shared" si="12"/>
        <v>1260896.2189717926</v>
      </c>
      <c r="I27" s="2">
        <f t="shared" si="16"/>
        <v>442900</v>
      </c>
      <c r="J27" s="158">
        <f t="shared" si="16"/>
        <v>700.52781064000055</v>
      </c>
      <c r="K27" s="7">
        <f t="shared" si="16"/>
        <v>606692.0990770536</v>
      </c>
      <c r="L27" s="2">
        <f t="shared" si="17"/>
        <v>10587.249999999998</v>
      </c>
      <c r="M27" s="2">
        <v>0</v>
      </c>
      <c r="N27" s="2">
        <f t="shared" si="14"/>
        <v>200016.34208409907</v>
      </c>
      <c r="O27" s="8">
        <f t="shared" si="18"/>
        <v>-1690285.1712388073</v>
      </c>
      <c r="P27" s="198">
        <f t="shared" si="2"/>
        <v>200016.34208409907</v>
      </c>
      <c r="R27" s="180" t="s">
        <v>317</v>
      </c>
      <c r="V27" t="s">
        <v>318</v>
      </c>
      <c r="Z27">
        <v>3</v>
      </c>
      <c r="AA27" s="6">
        <f>F51</f>
        <v>38675612.148198977</v>
      </c>
      <c r="AB27">
        <v>3</v>
      </c>
      <c r="AC27" s="171">
        <f t="shared" ref="AC26:AC28" si="19">(AA28-AA27)/AA27</f>
        <v>7.229008085623595E-2</v>
      </c>
    </row>
    <row r="28" spans="1:30">
      <c r="A28">
        <v>17</v>
      </c>
      <c r="B28">
        <v>5</v>
      </c>
      <c r="C28" t="s">
        <v>319</v>
      </c>
      <c r="D28" s="158">
        <f t="shared" si="15"/>
        <v>1018.6915887850466</v>
      </c>
      <c r="E28" s="165">
        <f t="shared" si="11"/>
        <v>2924.3164490893232</v>
      </c>
      <c r="F28" s="2">
        <f t="shared" si="13"/>
        <v>2978976.5696330485</v>
      </c>
      <c r="G28" s="2">
        <f>'Inputs&amp;Assumptions'!$B$4*E28</f>
        <v>1710725.1227172541</v>
      </c>
      <c r="H28" s="2">
        <f t="shared" si="12"/>
        <v>1268251.4469157944</v>
      </c>
      <c r="I28" s="2">
        <f t="shared" si="16"/>
        <v>442900</v>
      </c>
      <c r="J28" s="158">
        <f t="shared" si="16"/>
        <v>700.52781064000055</v>
      </c>
      <c r="K28" s="7">
        <f t="shared" si="16"/>
        <v>606692.0990770536</v>
      </c>
      <c r="L28" s="2">
        <f t="shared" si="17"/>
        <v>10587.249999999998</v>
      </c>
      <c r="M28" s="2">
        <v>0</v>
      </c>
      <c r="N28" s="2">
        <f t="shared" si="14"/>
        <v>207371.57002810086</v>
      </c>
      <c r="O28" s="8">
        <f t="shared" si="18"/>
        <v>-1482913.6012107064</v>
      </c>
      <c r="P28" s="198">
        <f t="shared" si="2"/>
        <v>207371.57002810086</v>
      </c>
      <c r="R28" s="4">
        <f>R25/S25</f>
        <v>0.57426605504587158</v>
      </c>
      <c r="V28" s="6">
        <f>V25+W25</f>
        <v>56013712.67988161</v>
      </c>
      <c r="Z28">
        <v>4</v>
      </c>
      <c r="AA28" s="6">
        <f>F66</f>
        <v>41471475.277556702</v>
      </c>
      <c r="AC28">
        <f>(AA29-AA28)/AA28</f>
        <v>7.2290080856235867E-2</v>
      </c>
    </row>
    <row r="29" spans="1:30">
      <c r="A29">
        <v>18</v>
      </c>
      <c r="B29">
        <v>6</v>
      </c>
      <c r="C29" t="s">
        <v>320</v>
      </c>
      <c r="D29" s="158">
        <f t="shared" si="15"/>
        <v>1018.6915887850466</v>
      </c>
      <c r="E29" s="165">
        <f t="shared" si="11"/>
        <v>2941.3749617090111</v>
      </c>
      <c r="F29" s="2">
        <f t="shared" si="13"/>
        <v>2996353.9329559081</v>
      </c>
      <c r="G29" s="2">
        <f>'Inputs&amp;Assumptions'!$B$4*E29</f>
        <v>1720704.3525997715</v>
      </c>
      <c r="H29" s="2">
        <f t="shared" si="12"/>
        <v>1275649.5803561367</v>
      </c>
      <c r="I29" s="2">
        <f t="shared" si="16"/>
        <v>442900</v>
      </c>
      <c r="J29" s="158">
        <f t="shared" si="16"/>
        <v>700.52781064000055</v>
      </c>
      <c r="K29" s="7">
        <f t="shared" si="16"/>
        <v>606692.0990770536</v>
      </c>
      <c r="L29" s="2">
        <f t="shared" si="17"/>
        <v>10587.249999999998</v>
      </c>
      <c r="M29" s="2">
        <v>0</v>
      </c>
      <c r="N29" s="2">
        <f t="shared" si="14"/>
        <v>214769.70346844313</v>
      </c>
      <c r="O29" s="8">
        <f t="shared" si="18"/>
        <v>-1268143.8977422633</v>
      </c>
      <c r="P29" s="198">
        <f t="shared" si="2"/>
        <v>214769.70346844313</v>
      </c>
      <c r="U29" s="6"/>
      <c r="Z29">
        <v>5</v>
      </c>
      <c r="AA29" s="6">
        <f>F81</f>
        <v>44469451.578598663</v>
      </c>
    </row>
    <row r="30" spans="1:30">
      <c r="A30">
        <v>19</v>
      </c>
      <c r="B30">
        <v>7</v>
      </c>
      <c r="C30" t="s">
        <v>323</v>
      </c>
      <c r="D30" s="158">
        <f t="shared" si="15"/>
        <v>1018.6915887850466</v>
      </c>
      <c r="E30" s="165">
        <f t="shared" si="11"/>
        <v>2958.5329823189804</v>
      </c>
      <c r="F30" s="2">
        <f t="shared" si="13"/>
        <v>3013832.6642314843</v>
      </c>
      <c r="G30" s="2">
        <f>'Inputs&amp;Assumptions'!$B$4*E30</f>
        <v>1730741.7946566036</v>
      </c>
      <c r="H30" s="2">
        <f t="shared" si="12"/>
        <v>1283090.8695748807</v>
      </c>
      <c r="I30" s="2">
        <f t="shared" si="16"/>
        <v>442900</v>
      </c>
      <c r="J30" s="158">
        <f t="shared" si="16"/>
        <v>700.52781064000055</v>
      </c>
      <c r="K30" s="7">
        <f t="shared" si="16"/>
        <v>606692.0990770536</v>
      </c>
      <c r="L30" s="2">
        <f t="shared" si="17"/>
        <v>10587.249999999998</v>
      </c>
      <c r="M30" s="2">
        <v>0</v>
      </c>
      <c r="N30" s="2">
        <f t="shared" si="14"/>
        <v>222210.99268718716</v>
      </c>
      <c r="O30" s="8">
        <f t="shared" si="18"/>
        <v>-1045932.9050550761</v>
      </c>
      <c r="P30" s="198">
        <f t="shared" si="2"/>
        <v>222210.99268718716</v>
      </c>
      <c r="U30" s="6"/>
      <c r="V30" s="6">
        <f>P36+W31</f>
        <v>2624914.0563914534</v>
      </c>
    </row>
    <row r="31" spans="1:30">
      <c r="A31">
        <v>20</v>
      </c>
      <c r="B31">
        <v>8</v>
      </c>
      <c r="C31" t="s">
        <v>324</v>
      </c>
      <c r="D31" s="158">
        <f t="shared" si="15"/>
        <v>1018.6915887850466</v>
      </c>
      <c r="E31" s="165">
        <f t="shared" si="11"/>
        <v>2975.7910913825076</v>
      </c>
      <c r="F31" s="2">
        <f t="shared" si="13"/>
        <v>3031413.3547728346</v>
      </c>
      <c r="G31" s="2">
        <f>'Inputs&amp;Assumptions'!$B$4*E31</f>
        <v>1740837.7884587669</v>
      </c>
      <c r="H31" s="2">
        <f t="shared" si="12"/>
        <v>1290575.5663140677</v>
      </c>
      <c r="I31" s="2">
        <f t="shared" si="16"/>
        <v>442900</v>
      </c>
      <c r="J31" s="158">
        <f t="shared" si="16"/>
        <v>700.52781064000055</v>
      </c>
      <c r="K31" s="7">
        <f t="shared" si="16"/>
        <v>606692.0990770536</v>
      </c>
      <c r="L31" s="2">
        <f t="shared" si="17"/>
        <v>10587.249999999998</v>
      </c>
      <c r="M31" s="2">
        <v>0</v>
      </c>
      <c r="N31" s="2">
        <f t="shared" si="14"/>
        <v>229695.68942637416</v>
      </c>
      <c r="O31" s="8">
        <f t="shared" si="18"/>
        <v>-816237.21562870196</v>
      </c>
      <c r="P31" s="198">
        <f t="shared" si="2"/>
        <v>229695.68942637416</v>
      </c>
      <c r="U31" s="6"/>
      <c r="V31" s="8">
        <f>V25-$M$2</f>
        <v>33287890.519921072</v>
      </c>
      <c r="W31" s="6">
        <f>'Inputs&amp;Assumptions'!B36</f>
        <v>810916.92</v>
      </c>
    </row>
    <row r="32" spans="1:30">
      <c r="A32">
        <v>21</v>
      </c>
      <c r="B32">
        <v>9</v>
      </c>
      <c r="C32" t="s">
        <v>325</v>
      </c>
      <c r="D32" s="158">
        <f t="shared" si="15"/>
        <v>1018.6915887850466</v>
      </c>
      <c r="E32" s="165">
        <f t="shared" si="11"/>
        <v>2993.1498727489061</v>
      </c>
      <c r="F32" s="2">
        <f t="shared" si="13"/>
        <v>3049096.5993423434</v>
      </c>
      <c r="G32" s="2">
        <f>'Inputs&amp;Assumptions'!$B$4*E32</f>
        <v>1750992.67555811</v>
      </c>
      <c r="H32" s="2">
        <f t="shared" si="12"/>
        <v>1298103.9237842334</v>
      </c>
      <c r="I32" s="2">
        <f t="shared" si="16"/>
        <v>442900</v>
      </c>
      <c r="J32" s="158">
        <f t="shared" si="16"/>
        <v>700.52781064000055</v>
      </c>
      <c r="K32" s="7">
        <f t="shared" si="16"/>
        <v>606692.0990770536</v>
      </c>
      <c r="L32" s="2">
        <f t="shared" si="17"/>
        <v>10587.249999999998</v>
      </c>
      <c r="M32" s="2">
        <v>0</v>
      </c>
      <c r="N32" s="2">
        <f t="shared" si="14"/>
        <v>237224.04689653986</v>
      </c>
      <c r="O32" s="8">
        <f t="shared" si="18"/>
        <v>-579013.1687321621</v>
      </c>
      <c r="P32" s="198">
        <f t="shared" si="2"/>
        <v>237224.04689653986</v>
      </c>
      <c r="U32" s="6"/>
      <c r="V32" s="171">
        <f>((P36+W31)/V31)</f>
        <v>7.8854923378835873E-2</v>
      </c>
    </row>
    <row r="33" spans="1:31">
      <c r="A33">
        <v>22</v>
      </c>
      <c r="B33">
        <v>10</v>
      </c>
      <c r="C33" t="s">
        <v>326</v>
      </c>
      <c r="D33" s="158">
        <f t="shared" si="15"/>
        <v>1018.6915887850466</v>
      </c>
      <c r="E33" s="165">
        <f t="shared" si="11"/>
        <v>3010.6099136732746</v>
      </c>
      <c r="F33" s="2">
        <f t="shared" si="13"/>
        <v>3066882.99617184</v>
      </c>
      <c r="G33" s="2">
        <f>'Inputs&amp;Assumptions'!$B$4*E33</f>
        <v>1761206.7994988656</v>
      </c>
      <c r="H33" s="2">
        <f t="shared" si="12"/>
        <v>1305676.1966729744</v>
      </c>
      <c r="I33" s="2">
        <f t="shared" si="16"/>
        <v>442900</v>
      </c>
      <c r="J33" s="158">
        <f t="shared" si="16"/>
        <v>700.52781064000055</v>
      </c>
      <c r="K33" s="7">
        <f t="shared" si="16"/>
        <v>606692.0990770536</v>
      </c>
      <c r="L33" s="2">
        <f t="shared" si="17"/>
        <v>10587.249999999998</v>
      </c>
      <c r="M33" s="2">
        <v>0</v>
      </c>
      <c r="N33" s="2">
        <f t="shared" si="14"/>
        <v>244796.31978528085</v>
      </c>
      <c r="O33" s="8">
        <f t="shared" si="18"/>
        <v>-334216.84894688125</v>
      </c>
      <c r="P33" s="198">
        <f t="shared" si="2"/>
        <v>244796.31978528085</v>
      </c>
      <c r="U33" s="6"/>
      <c r="Z33">
        <v>1</v>
      </c>
      <c r="AA33" s="8">
        <f>V15</f>
        <v>31779482.360851236</v>
      </c>
      <c r="AC33">
        <v>33441565.131925784</v>
      </c>
      <c r="AD33">
        <v>36068236.420984201</v>
      </c>
      <c r="AE33">
        <v>38675612.148198977</v>
      </c>
    </row>
    <row r="34" spans="1:31">
      <c r="A34">
        <v>23</v>
      </c>
      <c r="B34">
        <v>11</v>
      </c>
      <c r="C34" t="s">
        <v>327</v>
      </c>
      <c r="D34" s="158">
        <f t="shared" si="15"/>
        <v>1018.6915887850466</v>
      </c>
      <c r="E34" s="165">
        <f t="shared" si="11"/>
        <v>3028.1718048363687</v>
      </c>
      <c r="F34" s="2">
        <f t="shared" si="13"/>
        <v>3084773.1469828426</v>
      </c>
      <c r="G34" s="2">
        <f>'Inputs&amp;Assumptions'!$B$4*E34</f>
        <v>1771480.5058292756</v>
      </c>
      <c r="H34" s="2">
        <f t="shared" si="12"/>
        <v>1313292.641153567</v>
      </c>
      <c r="I34" s="2">
        <f t="shared" si="16"/>
        <v>442900</v>
      </c>
      <c r="J34" s="158">
        <f t="shared" si="16"/>
        <v>700.52781064000055</v>
      </c>
      <c r="K34" s="7">
        <f t="shared" si="16"/>
        <v>606692.0990770536</v>
      </c>
      <c r="L34" s="2">
        <f t="shared" si="17"/>
        <v>10587.249999999998</v>
      </c>
      <c r="M34" s="2">
        <v>0</v>
      </c>
      <c r="N34" s="2">
        <f t="shared" si="14"/>
        <v>252412.76426587347</v>
      </c>
      <c r="O34" s="8">
        <f t="shared" si="18"/>
        <v>-81804.084681007778</v>
      </c>
      <c r="P34" s="198">
        <f t="shared" si="2"/>
        <v>252412.76426587347</v>
      </c>
      <c r="U34" s="6"/>
      <c r="Z34">
        <v>2</v>
      </c>
      <c r="AA34" s="8">
        <f>V31</f>
        <v>33287890.519921072</v>
      </c>
    </row>
    <row r="35" spans="1:31">
      <c r="A35">
        <v>24</v>
      </c>
      <c r="B35">
        <v>12</v>
      </c>
      <c r="C35" t="s">
        <v>328</v>
      </c>
      <c r="D35" s="158">
        <f t="shared" si="15"/>
        <v>1018.6915887850466</v>
      </c>
      <c r="E35" s="165">
        <f t="shared" si="11"/>
        <v>3045.8361403645808</v>
      </c>
      <c r="F35" s="2">
        <f t="shared" si="13"/>
        <v>3102767.6570069091</v>
      </c>
      <c r="G35" s="2">
        <f>'Inputs&amp;Assumptions'!$B$4*E35</f>
        <v>1781814.1421132798</v>
      </c>
      <c r="H35" s="2">
        <f t="shared" si="12"/>
        <v>1320953.5148936294</v>
      </c>
      <c r="I35" s="2">
        <f t="shared" si="16"/>
        <v>442900</v>
      </c>
      <c r="J35" s="158">
        <f t="shared" si="16"/>
        <v>700.52781064000055</v>
      </c>
      <c r="K35" s="7">
        <f t="shared" si="16"/>
        <v>606692.0990770536</v>
      </c>
      <c r="L35" s="2">
        <f t="shared" si="17"/>
        <v>10587.249999999998</v>
      </c>
      <c r="M35" s="2">
        <v>0</v>
      </c>
      <c r="N35" s="2">
        <f t="shared" si="14"/>
        <v>260073.63800593582</v>
      </c>
      <c r="O35" s="8">
        <f t="shared" si="18"/>
        <v>178269.55332492804</v>
      </c>
      <c r="P35" s="198">
        <f t="shared" si="2"/>
        <v>260073.63800593582</v>
      </c>
      <c r="Q35" s="180" t="s">
        <v>329</v>
      </c>
      <c r="R35" s="204" t="s">
        <v>330</v>
      </c>
      <c r="S35" t="s">
        <v>331</v>
      </c>
      <c r="Z35">
        <v>3</v>
      </c>
      <c r="AA35" s="8">
        <f>V46</f>
        <v>34785217.89281106</v>
      </c>
    </row>
    <row r="36" spans="1:31">
      <c r="D36" s="158"/>
      <c r="E36" s="196">
        <f>SUM(E24:E35)</f>
        <v>35406.43391784688</v>
      </c>
      <c r="F36" s="196">
        <f>SUM(F24:F35)</f>
        <v>36068236.420984201</v>
      </c>
      <c r="G36" s="196">
        <f t="shared" ref="G36:L36" si="20">SUM(G24:G35)</f>
        <v>20712763.841940425</v>
      </c>
      <c r="H36" s="196">
        <f t="shared" si="20"/>
        <v>15355472.579043776</v>
      </c>
      <c r="I36" s="196">
        <f t="shared" si="20"/>
        <v>5314800</v>
      </c>
      <c r="J36" s="196">
        <f t="shared" si="20"/>
        <v>8406.3337276800048</v>
      </c>
      <c r="K36" s="196">
        <f t="shared" si="20"/>
        <v>7280305.1889246413</v>
      </c>
      <c r="L36" s="196">
        <f t="shared" si="20"/>
        <v>127046.99999999999</v>
      </c>
      <c r="N36" s="8"/>
      <c r="O36" s="6">
        <f>SUM(P24:P35)</f>
        <v>2624914.0563914534</v>
      </c>
      <c r="P36" s="6">
        <f>O36-P22</f>
        <v>1813997.1363914534</v>
      </c>
      <c r="Q36" s="6">
        <f>Tax!V23</f>
        <v>133192.94313500749</v>
      </c>
      <c r="R36" s="6">
        <f>Tax!T26</f>
        <v>210952.00221967517</v>
      </c>
      <c r="S36" s="189">
        <f>P36-Q36-R36</f>
        <v>1469852.1910367708</v>
      </c>
      <c r="U36" s="6"/>
      <c r="Z36">
        <v>4</v>
      </c>
      <c r="AA36" s="8">
        <f>V61</f>
        <v>36390787.182555519</v>
      </c>
    </row>
    <row r="37" spans="1:31">
      <c r="D37" s="158"/>
      <c r="E37" s="165"/>
      <c r="J37" s="158"/>
      <c r="P37" s="6">
        <f>'Inputs&amp;Assumptions'!B37</f>
        <v>810916.92</v>
      </c>
      <c r="U37" s="6"/>
      <c r="Z37">
        <v>5</v>
      </c>
      <c r="AA37" s="8">
        <f>V76</f>
        <v>38112423.206075914</v>
      </c>
    </row>
    <row r="38" spans="1:31">
      <c r="C38" s="1" t="s">
        <v>241</v>
      </c>
      <c r="D38" s="182" t="s">
        <v>26</v>
      </c>
      <c r="E38" s="166" t="s">
        <v>31</v>
      </c>
      <c r="F38" s="1" t="s">
        <v>298</v>
      </c>
      <c r="G38" s="1" t="s">
        <v>299</v>
      </c>
      <c r="H38" s="1" t="s">
        <v>300</v>
      </c>
      <c r="I38" s="1" t="s">
        <v>301</v>
      </c>
      <c r="J38" s="173" t="s">
        <v>273</v>
      </c>
      <c r="K38" s="1" t="s">
        <v>302</v>
      </c>
      <c r="L38" s="1" t="s">
        <v>58</v>
      </c>
      <c r="M38" s="1" t="s">
        <v>303</v>
      </c>
      <c r="N38" s="1" t="s">
        <v>304</v>
      </c>
      <c r="O38" s="1" t="s">
        <v>305</v>
      </c>
      <c r="P38" s="1" t="s">
        <v>306</v>
      </c>
      <c r="W38">
        <v>0.5</v>
      </c>
    </row>
    <row r="39" spans="1:31">
      <c r="A39">
        <v>25</v>
      </c>
      <c r="B39">
        <v>1</v>
      </c>
      <c r="C39" t="s">
        <v>311</v>
      </c>
      <c r="D39" s="158">
        <f>D35</f>
        <v>1018.6915887850466</v>
      </c>
      <c r="E39" s="165">
        <f t="shared" ref="E39:E50" si="21">$E$8*$E$6^A39</f>
        <v>3063.603517850041</v>
      </c>
      <c r="F39" s="2">
        <f>D39*E39</f>
        <v>3120867.1350061162</v>
      </c>
      <c r="G39" s="2">
        <f>'Inputs&amp;Assumptions'!$B$4*E39</f>
        <v>1792208.057942274</v>
      </c>
      <c r="H39" s="2">
        <f t="shared" ref="H39:H50" si="22">F39-G39</f>
        <v>1328659.0770638422</v>
      </c>
      <c r="I39" s="2">
        <f>I35*I6</f>
        <v>456187</v>
      </c>
      <c r="J39" s="158">
        <f>J35*J6</f>
        <v>721.54364495920061</v>
      </c>
      <c r="K39" s="7">
        <f>K35</f>
        <v>606692.0990770536</v>
      </c>
      <c r="L39" s="2">
        <f>'Inputs&amp;Assumptions'!B15</f>
        <v>10740.467500000001</v>
      </c>
      <c r="M39" s="2">
        <v>0</v>
      </c>
      <c r="N39" s="2">
        <f>H39-(I39+L39+M39+J39+K39)</f>
        <v>254317.96684182948</v>
      </c>
      <c r="O39" s="8">
        <f>O35+N39-(Q36+R36)</f>
        <v>88442.57481207489</v>
      </c>
      <c r="P39" s="198">
        <f t="shared" si="2"/>
        <v>254317.96684182924</v>
      </c>
      <c r="S39" s="165">
        <f>SUM(E39:E50)</f>
        <v>37965.967888599</v>
      </c>
      <c r="U39" t="s">
        <v>307</v>
      </c>
      <c r="V39" t="s">
        <v>312</v>
      </c>
      <c r="W39" t="s">
        <v>313</v>
      </c>
    </row>
    <row r="40" spans="1:31">
      <c r="A40">
        <v>26</v>
      </c>
      <c r="B40">
        <v>2</v>
      </c>
      <c r="C40" t="s">
        <v>314</v>
      </c>
      <c r="D40" s="158">
        <f>D39</f>
        <v>1018.6915887850466</v>
      </c>
      <c r="E40" s="165">
        <f t="shared" si="21"/>
        <v>3081.4745383708328</v>
      </c>
      <c r="F40" s="2">
        <f t="shared" ref="F40:F50" si="23">D40*E40</f>
        <v>3139072.1932936516</v>
      </c>
      <c r="G40" s="2">
        <f>'Inputs&amp;Assumptions'!$B$4*E40</f>
        <v>1802662.6049469372</v>
      </c>
      <c r="H40" s="2">
        <f t="shared" si="22"/>
        <v>1336409.5883467144</v>
      </c>
      <c r="I40" s="2">
        <f>I39</f>
        <v>456187</v>
      </c>
      <c r="J40" s="158">
        <f>J39</f>
        <v>721.54364495920061</v>
      </c>
      <c r="K40" s="7">
        <f>K39</f>
        <v>606692.0990770536</v>
      </c>
      <c r="L40" s="2">
        <f>L39</f>
        <v>10740.467500000001</v>
      </c>
      <c r="M40" s="2">
        <v>0</v>
      </c>
      <c r="N40" s="2">
        <f t="shared" ref="N40:N50" si="24">H40-(I40+L40+M40+J40+K40)</f>
        <v>262068.47812470165</v>
      </c>
      <c r="O40" s="8">
        <f>O39+N40</f>
        <v>350511.05293677654</v>
      </c>
      <c r="P40" s="198">
        <f t="shared" si="2"/>
        <v>262068.47812470142</v>
      </c>
      <c r="R40" s="8">
        <f>SUM(G39:G50)</f>
        <v>22210091.214830417</v>
      </c>
      <c r="S40" s="158">
        <f>S39*D39</f>
        <v>38675612.148198977</v>
      </c>
      <c r="U40" s="8">
        <f>G51</f>
        <v>22210091.214830417</v>
      </c>
      <c r="V40" s="6">
        <f>U40+'Inputs&amp;Assumptions'!$B$10+('costv.1.1'!$E$92*12)</f>
        <v>38839802.492811061</v>
      </c>
      <c r="W40" s="6">
        <f>V40*W38</f>
        <v>19419901.246405531</v>
      </c>
    </row>
    <row r="41" spans="1:31">
      <c r="A41">
        <v>27</v>
      </c>
      <c r="B41">
        <v>3</v>
      </c>
      <c r="C41" t="s">
        <v>315</v>
      </c>
      <c r="D41" s="158">
        <f t="shared" ref="D41:D50" si="25">D40</f>
        <v>1018.6915887850466</v>
      </c>
      <c r="E41" s="165">
        <f t="shared" si="21"/>
        <v>3099.4498065113294</v>
      </c>
      <c r="F41" s="2">
        <f t="shared" si="23"/>
        <v>3157383.4477545316</v>
      </c>
      <c r="G41" s="2">
        <f>'Inputs&amp;Assumptions'!$B$4*E41</f>
        <v>1813178.1368091276</v>
      </c>
      <c r="H41" s="2">
        <f t="shared" si="22"/>
        <v>1344205.310945404</v>
      </c>
      <c r="I41" s="2">
        <f t="shared" ref="I41:K50" si="26">I40</f>
        <v>456187</v>
      </c>
      <c r="J41" s="158">
        <f t="shared" si="26"/>
        <v>721.54364495920061</v>
      </c>
      <c r="K41" s="7">
        <f t="shared" si="26"/>
        <v>606692.0990770536</v>
      </c>
      <c r="L41" s="2">
        <f t="shared" ref="L41:L50" si="27">L40</f>
        <v>10740.467500000001</v>
      </c>
      <c r="M41" s="2">
        <v>0</v>
      </c>
      <c r="N41" s="2">
        <f t="shared" si="24"/>
        <v>269864.20072339126</v>
      </c>
      <c r="O41" s="8">
        <f t="shared" ref="O41:O50" si="28">O40+N41</f>
        <v>620375.2536601678</v>
      </c>
      <c r="P41" s="198">
        <f t="shared" si="2"/>
        <v>269864.20072339103</v>
      </c>
      <c r="U41" s="6"/>
      <c r="AC41">
        <v>14237209.449055193</v>
      </c>
      <c r="AD41">
        <v>15355472.579043776</v>
      </c>
      <c r="AE41">
        <v>16465520.933368564</v>
      </c>
    </row>
    <row r="42" spans="1:31">
      <c r="A42">
        <v>28</v>
      </c>
      <c r="B42">
        <v>4</v>
      </c>
      <c r="C42" t="s">
        <v>316</v>
      </c>
      <c r="D42" s="158">
        <f t="shared" si="25"/>
        <v>1018.6915887850466</v>
      </c>
      <c r="E42" s="165">
        <f t="shared" si="21"/>
        <v>3117.5299303826455</v>
      </c>
      <c r="F42" s="2">
        <f t="shared" si="23"/>
        <v>3175801.5178664331</v>
      </c>
      <c r="G42" s="2">
        <f>'Inputs&amp;Assumptions'!$B$4*E42</f>
        <v>1823755.0092738476</v>
      </c>
      <c r="H42" s="2">
        <f t="shared" si="22"/>
        <v>1352046.5085925856</v>
      </c>
      <c r="I42" s="2">
        <f t="shared" si="26"/>
        <v>456187</v>
      </c>
      <c r="J42" s="158">
        <f t="shared" si="26"/>
        <v>721.54364495920061</v>
      </c>
      <c r="K42" s="7">
        <f t="shared" si="26"/>
        <v>606692.0990770536</v>
      </c>
      <c r="L42" s="2">
        <f t="shared" si="27"/>
        <v>10740.467500000001</v>
      </c>
      <c r="M42" s="2">
        <v>0</v>
      </c>
      <c r="N42" s="2">
        <f t="shared" si="24"/>
        <v>277705.39837057283</v>
      </c>
      <c r="O42" s="8">
        <f t="shared" si="28"/>
        <v>898080.65203074063</v>
      </c>
      <c r="P42" s="198">
        <f t="shared" si="2"/>
        <v>277705.3983705726</v>
      </c>
      <c r="R42" s="180" t="s">
        <v>317</v>
      </c>
      <c r="V42" t="s">
        <v>318</v>
      </c>
    </row>
    <row r="43" spans="1:31">
      <c r="A43">
        <v>29</v>
      </c>
      <c r="B43">
        <v>5</v>
      </c>
      <c r="C43" t="s">
        <v>319</v>
      </c>
      <c r="D43" s="158">
        <f t="shared" si="25"/>
        <v>1018.6915887850466</v>
      </c>
      <c r="E43" s="165">
        <f t="shared" si="21"/>
        <v>3135.7155216432111</v>
      </c>
      <c r="F43" s="2">
        <f t="shared" si="23"/>
        <v>3194327.0267206542</v>
      </c>
      <c r="G43" s="2">
        <f>'Inputs&amp;Assumptions'!$B$4*E43</f>
        <v>1834393.5801612786</v>
      </c>
      <c r="H43" s="2">
        <f t="shared" si="22"/>
        <v>1359933.4465593756</v>
      </c>
      <c r="I43" s="2">
        <f t="shared" si="26"/>
        <v>456187</v>
      </c>
      <c r="J43" s="158">
        <f t="shared" si="26"/>
        <v>721.54364495920061</v>
      </c>
      <c r="K43" s="7">
        <f t="shared" si="26"/>
        <v>606692.0990770536</v>
      </c>
      <c r="L43" s="2">
        <f t="shared" si="27"/>
        <v>10740.467500000001</v>
      </c>
      <c r="M43" s="2">
        <v>0</v>
      </c>
      <c r="N43" s="2">
        <f>H43-(I43+L43+M43+J43+K43)</f>
        <v>285592.33633736288</v>
      </c>
      <c r="O43" s="8">
        <f t="shared" si="28"/>
        <v>1183672.9883681035</v>
      </c>
      <c r="P43" s="198">
        <f t="shared" si="2"/>
        <v>285592.33633736265</v>
      </c>
      <c r="R43" s="4">
        <f>R40/S40</f>
        <v>0.57426605504587169</v>
      </c>
      <c r="V43" s="6">
        <f>V40+W40</f>
        <v>58259703.739216596</v>
      </c>
      <c r="Z43">
        <v>1</v>
      </c>
      <c r="AA43" s="165">
        <f>E20</f>
        <v>32827.95843225743</v>
      </c>
      <c r="AC43" s="171">
        <f>(AA44-AA43)/AA43</f>
        <v>7.8545106327897213E-2</v>
      </c>
    </row>
    <row r="44" spans="1:31">
      <c r="A44">
        <v>30</v>
      </c>
      <c r="B44">
        <v>6</v>
      </c>
      <c r="C44" t="s">
        <v>320</v>
      </c>
      <c r="D44" s="158">
        <f t="shared" si="25"/>
        <v>1018.6915887850466</v>
      </c>
      <c r="E44" s="165">
        <f t="shared" si="21"/>
        <v>3154.0071955194635</v>
      </c>
      <c r="F44" s="2">
        <f t="shared" si="23"/>
        <v>3212960.6010431913</v>
      </c>
      <c r="G44" s="2">
        <f>'Inputs&amp;Assumptions'!$B$4*E44</f>
        <v>1845094.209378886</v>
      </c>
      <c r="H44" s="2">
        <f t="shared" si="22"/>
        <v>1367866.3916643052</v>
      </c>
      <c r="I44" s="2">
        <f t="shared" si="26"/>
        <v>456187</v>
      </c>
      <c r="J44" s="158">
        <f t="shared" si="26"/>
        <v>721.54364495920061</v>
      </c>
      <c r="K44" s="7">
        <f t="shared" si="26"/>
        <v>606692.0990770536</v>
      </c>
      <c r="L44" s="2">
        <f t="shared" si="27"/>
        <v>10740.467500000001</v>
      </c>
      <c r="M44" s="2">
        <v>0</v>
      </c>
      <c r="N44" s="2">
        <f>H44-(I44+L44+M44+J44+K44)</f>
        <v>293525.2814422925</v>
      </c>
      <c r="O44" s="8">
        <f t="shared" si="28"/>
        <v>1477198.269810396</v>
      </c>
      <c r="P44" s="198">
        <f t="shared" si="2"/>
        <v>293525.28144229227</v>
      </c>
      <c r="U44" s="6"/>
      <c r="Z44">
        <v>2</v>
      </c>
      <c r="AA44" s="8">
        <f>E36</f>
        <v>35406.43391784688</v>
      </c>
      <c r="AC44" s="171">
        <f>(AA45-AA44)/AA44</f>
        <v>7.2290080856235769E-2</v>
      </c>
    </row>
    <row r="45" spans="1:31">
      <c r="A45">
        <v>31</v>
      </c>
      <c r="B45">
        <v>7</v>
      </c>
      <c r="C45" t="s">
        <v>323</v>
      </c>
      <c r="D45" s="158">
        <f t="shared" si="25"/>
        <v>1018.6915887850466</v>
      </c>
      <c r="E45" s="165">
        <f t="shared" si="21"/>
        <v>3172.4055708266596</v>
      </c>
      <c r="F45" s="2">
        <f t="shared" si="23"/>
        <v>3231702.8712159428</v>
      </c>
      <c r="G45" s="2">
        <f>'Inputs&amp;Assumptions'!$B$4*E45</f>
        <v>1855857.2589335958</v>
      </c>
      <c r="H45" s="2">
        <f>F45-G45</f>
        <v>1375845.6122823469</v>
      </c>
      <c r="I45" s="2">
        <f t="shared" si="26"/>
        <v>456187</v>
      </c>
      <c r="J45" s="158">
        <f t="shared" si="26"/>
        <v>721.54364495920061</v>
      </c>
      <c r="K45" s="7">
        <f t="shared" si="26"/>
        <v>606692.0990770536</v>
      </c>
      <c r="L45" s="2">
        <f t="shared" si="27"/>
        <v>10740.467500000001</v>
      </c>
      <c r="M45" s="2">
        <v>0</v>
      </c>
      <c r="N45" s="2">
        <f t="shared" si="24"/>
        <v>301504.5020603342</v>
      </c>
      <c r="O45" s="8">
        <f t="shared" si="28"/>
        <v>1778702.7718707302</v>
      </c>
      <c r="P45" s="198">
        <f t="shared" si="2"/>
        <v>301504.50206033397</v>
      </c>
      <c r="U45" s="6"/>
      <c r="V45" s="6">
        <f>P51+W46</f>
        <v>3573427.6107044076</v>
      </c>
      <c r="Z45">
        <v>3</v>
      </c>
      <c r="AA45" s="8">
        <f>'Monthly_P&amp;L_12M'!E51</f>
        <v>37965.967888599</v>
      </c>
      <c r="AC45" s="171">
        <f>(AA46-AA45)/AA45</f>
        <v>7.2290080856236089E-2</v>
      </c>
    </row>
    <row r="46" spans="1:31">
      <c r="A46">
        <v>32</v>
      </c>
      <c r="B46">
        <v>8</v>
      </c>
      <c r="C46" t="s">
        <v>324</v>
      </c>
      <c r="D46" s="158">
        <f t="shared" si="25"/>
        <v>1018.6915887850466</v>
      </c>
      <c r="E46" s="165">
        <f t="shared" si="21"/>
        <v>3190.9112699898155</v>
      </c>
      <c r="F46" s="2">
        <f t="shared" si="23"/>
        <v>3250554.4712980362</v>
      </c>
      <c r="G46" s="2">
        <f>'Inputs&amp;Assumptions'!$B$4*E46</f>
        <v>1866683.0929440421</v>
      </c>
      <c r="H46" s="2">
        <f>F46-G46</f>
        <v>1383871.3783539941</v>
      </c>
      <c r="I46" s="2">
        <f t="shared" si="26"/>
        <v>456187</v>
      </c>
      <c r="J46" s="158">
        <f t="shared" si="26"/>
        <v>721.54364495920061</v>
      </c>
      <c r="K46" s="7">
        <f t="shared" si="26"/>
        <v>606692.0990770536</v>
      </c>
      <c r="L46" s="2">
        <f t="shared" si="27"/>
        <v>10740.467500000001</v>
      </c>
      <c r="M46" s="2">
        <v>0</v>
      </c>
      <c r="N46" s="2">
        <f t="shared" si="24"/>
        <v>309530.26813198137</v>
      </c>
      <c r="O46" s="8">
        <f t="shared" si="28"/>
        <v>2088233.0400027116</v>
      </c>
      <c r="P46" s="198">
        <f t="shared" si="2"/>
        <v>309530.26813198114</v>
      </c>
      <c r="U46" s="6"/>
      <c r="V46" s="8">
        <f>V40-$M$2</f>
        <v>34785217.89281106</v>
      </c>
      <c r="W46" s="6">
        <f>'Inputs&amp;Assumptions'!B37</f>
        <v>810916.92</v>
      </c>
      <c r="Z46">
        <v>4</v>
      </c>
      <c r="AA46" s="8">
        <f>E66</f>
        <v>40710.530777051084</v>
      </c>
      <c r="AC46" s="171">
        <f>(AA47-AA46)/AA46</f>
        <v>7.2290080856235811E-2</v>
      </c>
    </row>
    <row r="47" spans="1:31">
      <c r="A47">
        <v>33</v>
      </c>
      <c r="B47">
        <v>9</v>
      </c>
      <c r="C47" t="s">
        <v>325</v>
      </c>
      <c r="D47" s="158">
        <f t="shared" si="25"/>
        <v>1018.6915887850466</v>
      </c>
      <c r="E47" s="165">
        <f t="shared" si="21"/>
        <v>3209.524919064756</v>
      </c>
      <c r="F47" s="2">
        <f t="shared" si="23"/>
        <v>3269516.0390472743</v>
      </c>
      <c r="G47" s="2">
        <f>'Inputs&amp;Assumptions'!$B$4*E47</f>
        <v>1877572.0776528823</v>
      </c>
      <c r="H47" s="2">
        <f t="shared" si="22"/>
        <v>1391943.961394392</v>
      </c>
      <c r="I47" s="2">
        <f t="shared" si="26"/>
        <v>456187</v>
      </c>
      <c r="J47" s="158">
        <f t="shared" si="26"/>
        <v>721.54364495920061</v>
      </c>
      <c r="K47" s="7">
        <f t="shared" si="26"/>
        <v>606692.0990770536</v>
      </c>
      <c r="L47" s="2">
        <f t="shared" si="27"/>
        <v>10740.467500000001</v>
      </c>
      <c r="M47" s="2">
        <v>0</v>
      </c>
      <c r="N47" s="2">
        <f t="shared" si="24"/>
        <v>317602.85117237922</v>
      </c>
      <c r="O47" s="8">
        <f t="shared" si="28"/>
        <v>2405835.8911750908</v>
      </c>
      <c r="P47" s="198">
        <f t="shared" si="2"/>
        <v>317602.85117237899</v>
      </c>
      <c r="U47" s="6"/>
      <c r="V47" s="171">
        <f>((P51+W46)/V46)</f>
        <v>0.10272833770125428</v>
      </c>
      <c r="Z47">
        <v>5</v>
      </c>
      <c r="AA47" s="8">
        <f>E81</f>
        <v>43653.498338624384</v>
      </c>
    </row>
    <row r="48" spans="1:31">
      <c r="A48">
        <v>34</v>
      </c>
      <c r="B48">
        <v>10</v>
      </c>
      <c r="C48" t="s">
        <v>326</v>
      </c>
      <c r="D48" s="158">
        <f t="shared" si="25"/>
        <v>1018.6915887850466</v>
      </c>
      <c r="E48" s="165">
        <f t="shared" si="21"/>
        <v>3228.2471477593008</v>
      </c>
      <c r="F48" s="2">
        <f t="shared" si="23"/>
        <v>3288588.2159417174</v>
      </c>
      <c r="G48" s="2">
        <f>'Inputs&amp;Assumptions'!$B$4*E48</f>
        <v>1888524.581439191</v>
      </c>
      <c r="H48" s="2">
        <f t="shared" si="22"/>
        <v>1400063.6345025264</v>
      </c>
      <c r="I48" s="2">
        <f t="shared" si="26"/>
        <v>456187</v>
      </c>
      <c r="J48" s="158">
        <f t="shared" si="26"/>
        <v>721.54364495920061</v>
      </c>
      <c r="K48" s="7">
        <f t="shared" si="26"/>
        <v>606692.0990770536</v>
      </c>
      <c r="L48" s="2">
        <f t="shared" si="27"/>
        <v>10740.467500000001</v>
      </c>
      <c r="M48" s="2">
        <v>0</v>
      </c>
      <c r="N48" s="2">
        <f t="shared" si="24"/>
        <v>325722.52428051364</v>
      </c>
      <c r="O48" s="8">
        <f t="shared" si="28"/>
        <v>2731558.4154556044</v>
      </c>
      <c r="P48" s="198">
        <f t="shared" si="2"/>
        <v>325722.5242805134</v>
      </c>
      <c r="U48" s="6"/>
    </row>
    <row r="49" spans="1:29">
      <c r="A49">
        <v>35</v>
      </c>
      <c r="B49">
        <v>11</v>
      </c>
      <c r="C49" t="s">
        <v>327</v>
      </c>
      <c r="D49" s="158">
        <f t="shared" si="25"/>
        <v>1018.6915887850466</v>
      </c>
      <c r="E49" s="165">
        <f t="shared" si="21"/>
        <v>3247.0785894545634</v>
      </c>
      <c r="F49" s="2">
        <f t="shared" si="23"/>
        <v>3307771.6472013774</v>
      </c>
      <c r="G49" s="2">
        <f>'Inputs&amp;Assumptions'!$B$4*E49</f>
        <v>1899540.9748309196</v>
      </c>
      <c r="H49" s="2">
        <f t="shared" si="22"/>
        <v>1408230.6723704578</v>
      </c>
      <c r="I49" s="2">
        <f t="shared" si="26"/>
        <v>456187</v>
      </c>
      <c r="J49" s="158">
        <f t="shared" si="26"/>
        <v>721.54364495920061</v>
      </c>
      <c r="K49" s="7">
        <f t="shared" si="26"/>
        <v>606692.0990770536</v>
      </c>
      <c r="L49" s="2">
        <f t="shared" si="27"/>
        <v>10740.467500000001</v>
      </c>
      <c r="M49" s="2">
        <v>0</v>
      </c>
      <c r="N49" s="2">
        <f t="shared" si="24"/>
        <v>333889.56214844505</v>
      </c>
      <c r="O49" s="8">
        <f t="shared" si="28"/>
        <v>3065447.9776040493</v>
      </c>
      <c r="P49" s="198">
        <f t="shared" si="2"/>
        <v>333889.56214844482</v>
      </c>
      <c r="U49" s="6"/>
      <c r="AC49" s="226">
        <f>AVERAGE(AC43:AC46)</f>
        <v>7.3853837224151217E-2</v>
      </c>
    </row>
    <row r="50" spans="1:29">
      <c r="A50">
        <v>36</v>
      </c>
      <c r="B50">
        <v>12</v>
      </c>
      <c r="C50" t="s">
        <v>328</v>
      </c>
      <c r="D50" s="158">
        <f t="shared" si="25"/>
        <v>1018.6915887850466</v>
      </c>
      <c r="E50" s="165">
        <f t="shared" si="21"/>
        <v>3266.0198812263816</v>
      </c>
      <c r="F50" s="2">
        <f t="shared" si="23"/>
        <v>3327066.9818100519</v>
      </c>
      <c r="G50" s="2">
        <f>'Inputs&amp;Assumptions'!$B$4*E50</f>
        <v>1910621.6305174332</v>
      </c>
      <c r="H50" s="2">
        <f t="shared" si="22"/>
        <v>1416445.3512926188</v>
      </c>
      <c r="I50" s="2">
        <f t="shared" si="26"/>
        <v>456187</v>
      </c>
      <c r="J50" s="158">
        <f t="shared" si="26"/>
        <v>721.54364495920061</v>
      </c>
      <c r="K50" s="7">
        <f t="shared" si="26"/>
        <v>606692.0990770536</v>
      </c>
      <c r="L50" s="2">
        <f t="shared" si="27"/>
        <v>10740.467500000001</v>
      </c>
      <c r="M50" s="2">
        <v>0</v>
      </c>
      <c r="N50" s="2">
        <f t="shared" si="24"/>
        <v>342104.24107060605</v>
      </c>
      <c r="O50" s="8">
        <f t="shared" si="28"/>
        <v>3407552.2186746551</v>
      </c>
      <c r="P50" s="198">
        <f t="shared" si="2"/>
        <v>342104.24107060581</v>
      </c>
      <c r="Q50" s="180" t="s">
        <v>329</v>
      </c>
      <c r="R50" s="204" t="s">
        <v>330</v>
      </c>
      <c r="S50" t="s">
        <v>331</v>
      </c>
    </row>
    <row r="51" spans="1:29">
      <c r="D51" s="158"/>
      <c r="E51" s="196">
        <f>SUM(E39:E50)</f>
        <v>37965.967888599</v>
      </c>
      <c r="F51" s="196">
        <f>SUM(F39:F50)</f>
        <v>38675612.148198977</v>
      </c>
      <c r="G51" s="196">
        <f t="shared" ref="G51:L51" si="29">SUM(G39:G50)</f>
        <v>22210091.214830417</v>
      </c>
      <c r="H51" s="196">
        <f t="shared" si="29"/>
        <v>16465520.933368564</v>
      </c>
      <c r="I51" s="196">
        <f t="shared" si="29"/>
        <v>5474244</v>
      </c>
      <c r="J51" s="196">
        <f t="shared" si="29"/>
        <v>8658.5237395104068</v>
      </c>
      <c r="K51" s="196">
        <f t="shared" si="29"/>
        <v>7280305.1889246413</v>
      </c>
      <c r="L51" s="196">
        <f t="shared" si="29"/>
        <v>128885.61</v>
      </c>
      <c r="O51" s="6">
        <f>SUM(P39:P50)</f>
        <v>3573427.6107044076</v>
      </c>
      <c r="P51" s="6">
        <f>O51-P37</f>
        <v>2762510.6907044076</v>
      </c>
      <c r="Q51" s="6">
        <f>Tax!V38</f>
        <v>268681.45859978296</v>
      </c>
      <c r="R51" s="6">
        <f>Tax!T41</f>
        <v>364505.65307975403</v>
      </c>
      <c r="S51" s="189">
        <f>P51-Q51-R51</f>
        <v>2129323.5790248704</v>
      </c>
      <c r="U51" s="6"/>
    </row>
    <row r="52" spans="1:29">
      <c r="D52" s="158"/>
      <c r="E52" s="165"/>
      <c r="J52" s="158"/>
      <c r="P52" s="6">
        <f>'Inputs&amp;Assumptions'!B38</f>
        <v>810916.92</v>
      </c>
      <c r="U52" s="6"/>
    </row>
    <row r="53" spans="1:29">
      <c r="C53" s="1" t="s">
        <v>241</v>
      </c>
      <c r="D53" s="182" t="s">
        <v>26</v>
      </c>
      <c r="E53" s="166" t="s">
        <v>31</v>
      </c>
      <c r="F53" s="1" t="s">
        <v>298</v>
      </c>
      <c r="G53" s="1" t="s">
        <v>299</v>
      </c>
      <c r="H53" s="1" t="s">
        <v>300</v>
      </c>
      <c r="I53" s="1" t="s">
        <v>301</v>
      </c>
      <c r="J53" s="173" t="s">
        <v>273</v>
      </c>
      <c r="K53" s="1" t="s">
        <v>302</v>
      </c>
      <c r="L53" s="1" t="s">
        <v>58</v>
      </c>
      <c r="M53" s="1" t="s">
        <v>303</v>
      </c>
      <c r="N53" s="1" t="s">
        <v>304</v>
      </c>
      <c r="O53" s="1" t="s">
        <v>305</v>
      </c>
      <c r="P53" s="1" t="s">
        <v>306</v>
      </c>
      <c r="W53">
        <v>0.5</v>
      </c>
    </row>
    <row r="54" spans="1:29">
      <c r="A54">
        <v>37</v>
      </c>
      <c r="B54">
        <v>1</v>
      </c>
      <c r="C54" t="s">
        <v>311</v>
      </c>
      <c r="D54" s="158">
        <f>D50</f>
        <v>1018.6915887850466</v>
      </c>
      <c r="E54" s="165">
        <f t="shared" ref="E54:E65" si="30">$E$8*$E$6^A54</f>
        <v>3285.0716638668687</v>
      </c>
      <c r="F54" s="2">
        <f>D54*E54</f>
        <v>3346474.8725372772</v>
      </c>
      <c r="G54" s="2">
        <f>'Inputs&amp;Assumptions'!$B$4*E54</f>
        <v>1921766.9233621182</v>
      </c>
      <c r="H54" s="2">
        <f t="shared" ref="H54:H65" si="31">F54-G54</f>
        <v>1424707.949175159</v>
      </c>
      <c r="I54" s="2">
        <f>I50*I6</f>
        <v>469872.61</v>
      </c>
      <c r="J54" s="158">
        <f>J50*J6</f>
        <v>743.18995430797668</v>
      </c>
      <c r="K54" s="7">
        <f>K50</f>
        <v>606692.0990770536</v>
      </c>
      <c r="L54" s="2">
        <f>'Inputs&amp;Assumptions'!B16</f>
        <v>10774.681525</v>
      </c>
      <c r="M54" s="2">
        <v>0</v>
      </c>
      <c r="N54" s="2">
        <f>H54-(I54+L54+M54+J54+K54)</f>
        <v>336625.36861879751</v>
      </c>
      <c r="O54" s="8">
        <f>O50+N54-(Q51+R51)</f>
        <v>3110990.4756139154</v>
      </c>
      <c r="P54" s="198">
        <f t="shared" si="2"/>
        <v>336625.36861879751</v>
      </c>
      <c r="S54" s="165">
        <f>SUM(E54:E65)</f>
        <v>40710.530777051084</v>
      </c>
      <c r="U54" t="s">
        <v>307</v>
      </c>
      <c r="V54" t="s">
        <v>312</v>
      </c>
      <c r="W54" t="s">
        <v>313</v>
      </c>
    </row>
    <row r="55" spans="1:29">
      <c r="A55">
        <v>38</v>
      </c>
      <c r="B55">
        <v>2</v>
      </c>
      <c r="C55" t="s">
        <v>314</v>
      </c>
      <c r="D55" s="158">
        <f>D54</f>
        <v>1018.6915887850466</v>
      </c>
      <c r="E55" s="165">
        <f t="shared" si="30"/>
        <v>3304.2345819060929</v>
      </c>
      <c r="F55" s="2">
        <f t="shared" ref="F55:F65" si="32">D55*E55</f>
        <v>3365995.9759604121</v>
      </c>
      <c r="G55" s="2">
        <f>'Inputs&amp;Assumptions'!$B$4*E55</f>
        <v>1932977.2304150644</v>
      </c>
      <c r="H55" s="2">
        <f t="shared" si="31"/>
        <v>1433018.7455453477</v>
      </c>
      <c r="I55" s="2">
        <f>I54</f>
        <v>469872.61</v>
      </c>
      <c r="J55" s="158">
        <f>J54</f>
        <v>743.18995430797668</v>
      </c>
      <c r="K55" s="7">
        <f>K54</f>
        <v>606692.0990770536</v>
      </c>
      <c r="L55" s="2">
        <f>L54</f>
        <v>10774.681525</v>
      </c>
      <c r="M55" s="2">
        <v>0</v>
      </c>
      <c r="N55" s="2">
        <f t="shared" ref="N55:N65" si="33">H55-(I55+L55+M55+J55+K55)</f>
        <v>344936.16498898622</v>
      </c>
      <c r="O55" s="8">
        <f>O54+N55</f>
        <v>3455926.6406029016</v>
      </c>
      <c r="P55" s="198">
        <f t="shared" si="2"/>
        <v>344936.16498898622</v>
      </c>
      <c r="R55" s="8">
        <f>SUM(G54:G65)</f>
        <v>23815660.50457488</v>
      </c>
      <c r="S55" s="158">
        <f>S54*D54</f>
        <v>41471475.27755671</v>
      </c>
      <c r="U55" s="8">
        <f>G66</f>
        <v>23815660.50457488</v>
      </c>
      <c r="V55" s="6">
        <f>U55+'Inputs&amp;Assumptions'!$B$10+('costv.1.1'!$E$92*12)</f>
        <v>40445371.782555521</v>
      </c>
      <c r="W55" s="6">
        <f>V55*W53</f>
        <v>20222685.89127776</v>
      </c>
    </row>
    <row r="56" spans="1:29">
      <c r="A56">
        <v>39</v>
      </c>
      <c r="B56">
        <v>3</v>
      </c>
      <c r="C56" t="s">
        <v>315</v>
      </c>
      <c r="D56" s="158">
        <f t="shared" ref="D56:D65" si="34">D55</f>
        <v>1018.6915887850466</v>
      </c>
      <c r="E56" s="165">
        <f t="shared" si="30"/>
        <v>3323.5092836338777</v>
      </c>
      <c r="F56" s="2">
        <f t="shared" si="32"/>
        <v>3385630.9524868471</v>
      </c>
      <c r="G56" s="2">
        <f>'Inputs&amp;Assumptions'!$B$4*E56</f>
        <v>1944252.9309258184</v>
      </c>
      <c r="H56" s="2">
        <f t="shared" si="31"/>
        <v>1441378.0215610287</v>
      </c>
      <c r="I56" s="2">
        <f t="shared" ref="I56:K65" si="35">I55</f>
        <v>469872.61</v>
      </c>
      <c r="J56" s="158">
        <f t="shared" si="35"/>
        <v>743.18995430797668</v>
      </c>
      <c r="K56" s="7">
        <f t="shared" si="35"/>
        <v>606692.0990770536</v>
      </c>
      <c r="L56" s="2">
        <f t="shared" ref="L56:L65" si="36">L55</f>
        <v>10774.681525</v>
      </c>
      <c r="M56" s="2">
        <v>0</v>
      </c>
      <c r="N56" s="2">
        <f t="shared" si="33"/>
        <v>353295.4410046672</v>
      </c>
      <c r="O56" s="8">
        <f t="shared" ref="O56:O65" si="37">O55+N56</f>
        <v>3809222.081607569</v>
      </c>
      <c r="P56" s="198">
        <f t="shared" si="2"/>
        <v>353295.4410046672</v>
      </c>
      <c r="U56" s="6"/>
    </row>
    <row r="57" spans="1:29">
      <c r="A57">
        <v>40</v>
      </c>
      <c r="B57">
        <v>4</v>
      </c>
      <c r="C57" t="s">
        <v>316</v>
      </c>
      <c r="D57" s="158">
        <f t="shared" si="34"/>
        <v>1018.6915887850466</v>
      </c>
      <c r="E57" s="165">
        <f t="shared" si="30"/>
        <v>3342.8964211217426</v>
      </c>
      <c r="F57" s="2">
        <f t="shared" si="32"/>
        <v>3405380.4663763545</v>
      </c>
      <c r="G57" s="2">
        <f>'Inputs&amp;Assumptions'!$B$4*E57</f>
        <v>1955594.4063562194</v>
      </c>
      <c r="H57" s="2">
        <f t="shared" si="31"/>
        <v>1449786.060020135</v>
      </c>
      <c r="I57" s="2">
        <f t="shared" si="35"/>
        <v>469872.61</v>
      </c>
      <c r="J57" s="158">
        <f t="shared" si="35"/>
        <v>743.18995430797668</v>
      </c>
      <c r="K57" s="7">
        <f t="shared" si="35"/>
        <v>606692.0990770536</v>
      </c>
      <c r="L57" s="2">
        <f t="shared" si="36"/>
        <v>10774.681525</v>
      </c>
      <c r="M57" s="2">
        <v>0</v>
      </c>
      <c r="N57" s="2">
        <f t="shared" si="33"/>
        <v>361703.47946377355</v>
      </c>
      <c r="O57" s="8">
        <f t="shared" si="37"/>
        <v>4170925.5610713428</v>
      </c>
      <c r="P57" s="198">
        <f t="shared" si="2"/>
        <v>361703.47946377355</v>
      </c>
      <c r="R57" s="180" t="s">
        <v>317</v>
      </c>
      <c r="V57" t="s">
        <v>318</v>
      </c>
    </row>
    <row r="58" spans="1:29">
      <c r="A58">
        <v>41</v>
      </c>
      <c r="B58">
        <v>5</v>
      </c>
      <c r="C58" t="s">
        <v>319</v>
      </c>
      <c r="D58" s="158">
        <f t="shared" si="34"/>
        <v>1018.6915887850466</v>
      </c>
      <c r="E58" s="165">
        <f t="shared" si="30"/>
        <v>3362.396650244953</v>
      </c>
      <c r="F58" s="2">
        <f t="shared" si="32"/>
        <v>3425245.18576355</v>
      </c>
      <c r="G58" s="2">
        <f>'Inputs&amp;Assumptions'!$B$4*E58</f>
        <v>1967002.0403932976</v>
      </c>
      <c r="H58" s="2">
        <f t="shared" si="31"/>
        <v>1458243.1453702524</v>
      </c>
      <c r="I58" s="2">
        <f t="shared" si="35"/>
        <v>469872.61</v>
      </c>
      <c r="J58" s="158">
        <f t="shared" si="35"/>
        <v>743.18995430797668</v>
      </c>
      <c r="K58" s="7">
        <f t="shared" si="35"/>
        <v>606692.0990770536</v>
      </c>
      <c r="L58" s="2">
        <f t="shared" si="36"/>
        <v>10774.681525</v>
      </c>
      <c r="M58" s="2">
        <v>0</v>
      </c>
      <c r="N58" s="2">
        <f t="shared" si="33"/>
        <v>370160.56481389096</v>
      </c>
      <c r="O58" s="8">
        <f t="shared" si="37"/>
        <v>4541086.1258852333</v>
      </c>
      <c r="P58" s="198">
        <f t="shared" si="2"/>
        <v>370160.56481389096</v>
      </c>
      <c r="R58" s="4">
        <f>R55/S55</f>
        <v>0.57426605504587147</v>
      </c>
      <c r="V58" s="6">
        <f>V55+W55</f>
        <v>60668057.673833281</v>
      </c>
    </row>
    <row r="59" spans="1:29">
      <c r="A59">
        <v>42</v>
      </c>
      <c r="B59">
        <v>6</v>
      </c>
      <c r="C59" t="s">
        <v>320</v>
      </c>
      <c r="D59" s="158">
        <f t="shared" si="34"/>
        <v>1018.6915887850466</v>
      </c>
      <c r="E59" s="165">
        <f t="shared" si="30"/>
        <v>3382.0106307047149</v>
      </c>
      <c r="F59" s="2">
        <f t="shared" si="32"/>
        <v>3445225.7826805036</v>
      </c>
      <c r="G59" s="2">
        <f>'Inputs&amp;Assumptions'!$B$4*E59</f>
        <v>1978476.2189622582</v>
      </c>
      <c r="H59" s="2">
        <f t="shared" si="31"/>
        <v>1466749.5637182454</v>
      </c>
      <c r="I59" s="2">
        <f t="shared" si="35"/>
        <v>469872.61</v>
      </c>
      <c r="J59" s="158">
        <f t="shared" si="35"/>
        <v>743.18995430797668</v>
      </c>
      <c r="K59" s="7">
        <f t="shared" si="35"/>
        <v>606692.0990770536</v>
      </c>
      <c r="L59" s="2">
        <f t="shared" si="36"/>
        <v>10774.681525</v>
      </c>
      <c r="M59" s="2">
        <v>0</v>
      </c>
      <c r="N59" s="2">
        <f t="shared" si="33"/>
        <v>378666.98316188389</v>
      </c>
      <c r="O59" s="8">
        <f t="shared" si="37"/>
        <v>4919753.1090471167</v>
      </c>
      <c r="P59" s="198">
        <f t="shared" si="2"/>
        <v>378666.98316188389</v>
      </c>
      <c r="U59" s="6"/>
    </row>
    <row r="60" spans="1:29">
      <c r="A60">
        <v>43</v>
      </c>
      <c r="B60">
        <v>7</v>
      </c>
      <c r="C60" t="s">
        <v>323</v>
      </c>
      <c r="D60" s="158">
        <f t="shared" si="34"/>
        <v>1018.6915887850466</v>
      </c>
      <c r="E60" s="165">
        <f t="shared" si="30"/>
        <v>3401.7390260504926</v>
      </c>
      <c r="F60" s="2">
        <f t="shared" si="32"/>
        <v>3465322.9330794737</v>
      </c>
      <c r="G60" s="2">
        <f>'Inputs&amp;Assumptions'!$B$4*E60</f>
        <v>1990017.3302395381</v>
      </c>
      <c r="H60" s="2">
        <f t="shared" si="31"/>
        <v>1475305.6028399356</v>
      </c>
      <c r="I60" s="2">
        <f t="shared" si="35"/>
        <v>469872.61</v>
      </c>
      <c r="J60" s="158">
        <f t="shared" si="35"/>
        <v>743.18995430797668</v>
      </c>
      <c r="K60" s="7">
        <f t="shared" si="35"/>
        <v>606692.0990770536</v>
      </c>
      <c r="L60" s="2">
        <f t="shared" si="36"/>
        <v>10774.681525</v>
      </c>
      <c r="M60" s="2">
        <v>0</v>
      </c>
      <c r="N60" s="2">
        <f t="shared" si="33"/>
        <v>387223.0222835741</v>
      </c>
      <c r="O60" s="8">
        <f t="shared" si="37"/>
        <v>5306976.1313306913</v>
      </c>
      <c r="P60" s="198">
        <f t="shared" si="2"/>
        <v>387223.0222835741</v>
      </c>
      <c r="U60" s="6"/>
      <c r="V60" s="6">
        <f>P66+W61</f>
        <v>4598823.8063054848</v>
      </c>
    </row>
    <row r="61" spans="1:29">
      <c r="A61">
        <v>44</v>
      </c>
      <c r="B61">
        <v>8</v>
      </c>
      <c r="C61" t="s">
        <v>324</v>
      </c>
      <c r="D61" s="158">
        <f t="shared" si="34"/>
        <v>1018.6915887850466</v>
      </c>
      <c r="E61" s="165">
        <f t="shared" si="30"/>
        <v>3421.5825037024538</v>
      </c>
      <c r="F61" s="2">
        <f t="shared" si="32"/>
        <v>3485537.3168557705</v>
      </c>
      <c r="G61" s="2">
        <f>'Inputs&amp;Assumptions'!$B$4*E61</f>
        <v>2001625.7646659354</v>
      </c>
      <c r="H61" s="2">
        <f t="shared" si="31"/>
        <v>1483911.5521898351</v>
      </c>
      <c r="I61" s="2">
        <f t="shared" si="35"/>
        <v>469872.61</v>
      </c>
      <c r="J61" s="158">
        <f t="shared" si="35"/>
        <v>743.18995430797668</v>
      </c>
      <c r="K61" s="7">
        <f t="shared" si="35"/>
        <v>606692.0990770536</v>
      </c>
      <c r="L61" s="2">
        <f t="shared" si="36"/>
        <v>10774.681525</v>
      </c>
      <c r="M61" s="2">
        <v>0</v>
      </c>
      <c r="N61" s="2">
        <f t="shared" si="33"/>
        <v>395828.97163347364</v>
      </c>
      <c r="O61" s="8">
        <f t="shared" si="37"/>
        <v>5702805.1029641647</v>
      </c>
      <c r="P61" s="198">
        <f t="shared" si="2"/>
        <v>395828.97163347364</v>
      </c>
      <c r="U61" s="6"/>
      <c r="V61" s="8">
        <f>V55-$M$2</f>
        <v>36390787.182555519</v>
      </c>
      <c r="W61" s="6">
        <f>'Inputs&amp;Assumptions'!B38</f>
        <v>810916.92</v>
      </c>
    </row>
    <row r="62" spans="1:29">
      <c r="A62">
        <v>45</v>
      </c>
      <c r="B62">
        <v>9</v>
      </c>
      <c r="C62" t="s">
        <v>325</v>
      </c>
      <c r="D62" s="158">
        <f t="shared" si="34"/>
        <v>1018.6915887850466</v>
      </c>
      <c r="E62" s="165">
        <f t="shared" si="30"/>
        <v>3441.5417349740524</v>
      </c>
      <c r="F62" s="2">
        <f t="shared" si="32"/>
        <v>3505869.6178707634</v>
      </c>
      <c r="G62" s="2">
        <f>'Inputs&amp;Assumptions'!$B$4*E62</f>
        <v>2013301.9149598207</v>
      </c>
      <c r="H62" s="2">
        <f t="shared" si="31"/>
        <v>1492567.7029109427</v>
      </c>
      <c r="I62" s="2">
        <f t="shared" si="35"/>
        <v>469872.61</v>
      </c>
      <c r="J62" s="158">
        <f t="shared" si="35"/>
        <v>743.18995430797668</v>
      </c>
      <c r="K62" s="7">
        <f t="shared" si="35"/>
        <v>606692.0990770536</v>
      </c>
      <c r="L62" s="2">
        <f t="shared" si="36"/>
        <v>10774.681525</v>
      </c>
      <c r="M62" s="2">
        <v>0</v>
      </c>
      <c r="N62" s="2">
        <f t="shared" si="33"/>
        <v>404485.12235458125</v>
      </c>
      <c r="O62" s="8">
        <f t="shared" si="37"/>
        <v>6107290.2253187457</v>
      </c>
      <c r="P62" s="198">
        <f t="shared" si="2"/>
        <v>404485.12235458125</v>
      </c>
      <c r="U62" s="6"/>
      <c r="V62" s="171">
        <f>((P66+W61)/V61)</f>
        <v>0.12637329836354849</v>
      </c>
    </row>
    <row r="63" spans="1:29">
      <c r="A63">
        <v>46</v>
      </c>
      <c r="B63">
        <v>10</v>
      </c>
      <c r="C63" t="s">
        <v>326</v>
      </c>
      <c r="D63" s="158">
        <f t="shared" si="34"/>
        <v>1018.6915887850466</v>
      </c>
      <c r="E63" s="165">
        <f t="shared" si="30"/>
        <v>3461.6173950947341</v>
      </c>
      <c r="F63" s="2">
        <f t="shared" si="32"/>
        <v>3526320.5239750091</v>
      </c>
      <c r="G63" s="2">
        <f>'Inputs&amp;Assumptions'!$B$4*E63</f>
        <v>2025046.1761304194</v>
      </c>
      <c r="H63" s="2">
        <f t="shared" si="31"/>
        <v>1501274.3478445897</v>
      </c>
      <c r="I63" s="2">
        <f t="shared" si="35"/>
        <v>469872.61</v>
      </c>
      <c r="J63" s="158">
        <f t="shared" si="35"/>
        <v>743.18995430797668</v>
      </c>
      <c r="K63" s="7">
        <f t="shared" si="35"/>
        <v>606692.0990770536</v>
      </c>
      <c r="L63" s="2">
        <f t="shared" si="36"/>
        <v>10774.681525</v>
      </c>
      <c r="M63" s="2">
        <v>0</v>
      </c>
      <c r="N63" s="2">
        <f t="shared" si="33"/>
        <v>413191.76728822826</v>
      </c>
      <c r="O63" s="8">
        <f t="shared" si="37"/>
        <v>6520481.9926069742</v>
      </c>
      <c r="P63" s="198">
        <f t="shared" si="2"/>
        <v>413191.76728822826</v>
      </c>
      <c r="U63" s="6"/>
    </row>
    <row r="64" spans="1:29">
      <c r="A64">
        <v>47</v>
      </c>
      <c r="B64">
        <v>11</v>
      </c>
      <c r="C64" t="s">
        <v>327</v>
      </c>
      <c r="D64" s="158">
        <f t="shared" si="34"/>
        <v>1018.6915887850466</v>
      </c>
      <c r="E64" s="165">
        <f t="shared" si="30"/>
        <v>3481.8101632327862</v>
      </c>
      <c r="F64" s="2">
        <f t="shared" si="32"/>
        <v>3546890.7270315294</v>
      </c>
      <c r="G64" s="2">
        <f>'Inputs&amp;Assumptions'!$B$4*E64</f>
        <v>2036858.9454911798</v>
      </c>
      <c r="H64" s="2">
        <f t="shared" si="31"/>
        <v>1510031.7815403496</v>
      </c>
      <c r="I64" s="2">
        <f t="shared" si="35"/>
        <v>469872.61</v>
      </c>
      <c r="J64" s="158">
        <f t="shared" si="35"/>
        <v>743.18995430797668</v>
      </c>
      <c r="K64" s="7">
        <f t="shared" si="35"/>
        <v>606692.0990770536</v>
      </c>
      <c r="L64" s="2">
        <f t="shared" si="36"/>
        <v>10774.681525</v>
      </c>
      <c r="M64" s="2">
        <v>0</v>
      </c>
      <c r="N64" s="2">
        <f t="shared" si="33"/>
        <v>421949.20098398812</v>
      </c>
      <c r="O64" s="8">
        <f t="shared" si="37"/>
        <v>6942431.1935909623</v>
      </c>
      <c r="P64" s="198">
        <f t="shared" si="2"/>
        <v>421949.20098398812</v>
      </c>
      <c r="U64" s="6"/>
    </row>
    <row r="65" spans="1:23">
      <c r="A65">
        <v>48</v>
      </c>
      <c r="B65">
        <v>12</v>
      </c>
      <c r="C65" t="s">
        <v>328</v>
      </c>
      <c r="D65" s="158">
        <f t="shared" si="34"/>
        <v>1018.6915887850466</v>
      </c>
      <c r="E65" s="165">
        <f t="shared" si="30"/>
        <v>3502.1207225183107</v>
      </c>
      <c r="F65" s="2">
        <f t="shared" si="32"/>
        <v>3567580.9229392135</v>
      </c>
      <c r="G65" s="2">
        <f>'Inputs&amp;Assumptions'!$B$4*E65</f>
        <v>2048740.6226732119</v>
      </c>
      <c r="H65" s="2">
        <f t="shared" si="31"/>
        <v>1518840.3002660016</v>
      </c>
      <c r="I65" s="2">
        <f t="shared" si="35"/>
        <v>469872.61</v>
      </c>
      <c r="J65" s="158">
        <f t="shared" si="35"/>
        <v>743.18995430797668</v>
      </c>
      <c r="K65" s="7">
        <f t="shared" si="35"/>
        <v>606692.0990770536</v>
      </c>
      <c r="L65" s="2">
        <f t="shared" si="36"/>
        <v>10774.681525</v>
      </c>
      <c r="M65" s="2">
        <v>0</v>
      </c>
      <c r="N65" s="2">
        <f t="shared" si="33"/>
        <v>430757.71970964014</v>
      </c>
      <c r="O65" s="8">
        <f t="shared" si="37"/>
        <v>7373188.9133006027</v>
      </c>
      <c r="P65" s="198">
        <f t="shared" si="2"/>
        <v>430757.71970964014</v>
      </c>
      <c r="Q65" s="180" t="s">
        <v>329</v>
      </c>
      <c r="R65" s="204" t="s">
        <v>330</v>
      </c>
      <c r="S65" t="s">
        <v>331</v>
      </c>
    </row>
    <row r="66" spans="1:23">
      <c r="D66" s="158"/>
      <c r="E66" s="196">
        <f>SUM(E54:E65)</f>
        <v>40710.530777051084</v>
      </c>
      <c r="F66" s="196">
        <f>SUM(F54:F65)</f>
        <v>41471475.277556702</v>
      </c>
      <c r="G66" s="196">
        <f t="shared" ref="G66:L66" si="38">SUM(G54:G65)</f>
        <v>23815660.50457488</v>
      </c>
      <c r="H66" s="196">
        <f t="shared" si="38"/>
        <v>17655814.772981822</v>
      </c>
      <c r="I66" s="196">
        <f t="shared" si="38"/>
        <v>5638471.3200000003</v>
      </c>
      <c r="J66" s="196">
        <f t="shared" si="38"/>
        <v>8918.2794516957183</v>
      </c>
      <c r="K66" s="196">
        <f t="shared" si="38"/>
        <v>7280305.1889246413</v>
      </c>
      <c r="L66" s="196">
        <f t="shared" si="38"/>
        <v>129296.17829999997</v>
      </c>
      <c r="O66" s="6">
        <f>SUM(P54:P65)</f>
        <v>4598823.8063054848</v>
      </c>
      <c r="P66" s="6">
        <f>O66-P52</f>
        <v>3787906.8863054849</v>
      </c>
      <c r="Q66" s="6">
        <f>Tax!V53</f>
        <v>418615.50368751923</v>
      </c>
      <c r="R66" s="6">
        <f>Tax!T56</f>
        <v>529892.40295001538</v>
      </c>
      <c r="S66" s="189">
        <f>P66-Q66-R66</f>
        <v>2839398.9796679504</v>
      </c>
      <c r="U66" s="6"/>
    </row>
    <row r="67" spans="1:23">
      <c r="D67" s="158"/>
      <c r="E67" s="165"/>
      <c r="J67" s="158"/>
      <c r="P67" s="6">
        <f>'Inputs&amp;Assumptions'!B39</f>
        <v>810916.92</v>
      </c>
      <c r="U67" s="6"/>
    </row>
    <row r="68" spans="1:23">
      <c r="C68" s="1" t="s">
        <v>241</v>
      </c>
      <c r="D68" s="182" t="s">
        <v>26</v>
      </c>
      <c r="E68" s="166" t="s">
        <v>31</v>
      </c>
      <c r="F68" s="1" t="s">
        <v>298</v>
      </c>
      <c r="G68" s="1" t="s">
        <v>299</v>
      </c>
      <c r="H68" s="1" t="s">
        <v>300</v>
      </c>
      <c r="I68" s="1" t="s">
        <v>301</v>
      </c>
      <c r="J68" s="173" t="s">
        <v>273</v>
      </c>
      <c r="K68" s="1" t="s">
        <v>302</v>
      </c>
      <c r="L68" s="1" t="s">
        <v>58</v>
      </c>
      <c r="M68" s="1" t="s">
        <v>303</v>
      </c>
      <c r="N68" s="1" t="s">
        <v>304</v>
      </c>
      <c r="O68" s="1" t="s">
        <v>305</v>
      </c>
      <c r="P68" s="1" t="s">
        <v>306</v>
      </c>
      <c r="W68">
        <v>0.5</v>
      </c>
    </row>
    <row r="69" spans="1:23">
      <c r="A69">
        <v>49</v>
      </c>
      <c r="B69">
        <v>1</v>
      </c>
      <c r="C69" t="s">
        <v>311</v>
      </c>
      <c r="D69" s="158">
        <f>D65</f>
        <v>1018.6915887850466</v>
      </c>
      <c r="E69" s="165">
        <f t="shared" ref="E69:E80" si="39">$E$8*$E$6^A69</f>
        <v>3522.5497600663348</v>
      </c>
      <c r="F69" s="2">
        <f>D69*E69</f>
        <v>3588391.8116563596</v>
      </c>
      <c r="G69" s="2">
        <f>'Inputs&amp;Assumptions'!$B$4*E69</f>
        <v>2060691.6096388057</v>
      </c>
      <c r="H69" s="2">
        <f t="shared" ref="H69:H80" si="40">F69-G69</f>
        <v>1527700.2020175538</v>
      </c>
      <c r="I69" s="2">
        <f>I65*I6</f>
        <v>483968.78830000001</v>
      </c>
      <c r="J69" s="158">
        <f>J65*J6</f>
        <v>765.48565293721595</v>
      </c>
      <c r="K69" s="7">
        <f>K65</f>
        <v>606692.0990770536</v>
      </c>
      <c r="L69" s="2">
        <f>'Inputs&amp;Assumptions'!B17</f>
        <v>10809.92197075</v>
      </c>
      <c r="M69" s="2">
        <v>0</v>
      </c>
      <c r="N69" s="2">
        <f>H69-(I69+L69+M69+J69+K69)</f>
        <v>425463.90701681306</v>
      </c>
      <c r="O69" s="8">
        <f>O65+N69-(Q66+R66)</f>
        <v>6850144.913679881</v>
      </c>
      <c r="P69" s="198">
        <f t="shared" si="2"/>
        <v>425463.90701681306</v>
      </c>
      <c r="S69" s="165">
        <f>SUM(E69:E80)</f>
        <v>43653.498338624384</v>
      </c>
      <c r="U69" t="s">
        <v>307</v>
      </c>
      <c r="V69" t="s">
        <v>312</v>
      </c>
      <c r="W69" t="s">
        <v>313</v>
      </c>
    </row>
    <row r="70" spans="1:23">
      <c r="A70">
        <v>50</v>
      </c>
      <c r="B70">
        <v>2</v>
      </c>
      <c r="C70" t="s">
        <v>314</v>
      </c>
      <c r="D70" s="158">
        <f>D69</f>
        <v>1018.6915887850466</v>
      </c>
      <c r="E70" s="165">
        <f t="shared" si="39"/>
        <v>3543.0979670000552</v>
      </c>
      <c r="F70" s="2">
        <f t="shared" ref="F70:F80" si="41">D70*E70</f>
        <v>3609324.0972243547</v>
      </c>
      <c r="G70" s="2">
        <f>'Inputs&amp;Assumptions'!$B$4*E70</f>
        <v>2072712.3106950324</v>
      </c>
      <c r="H70" s="2">
        <f t="shared" si="40"/>
        <v>1536611.7865293224</v>
      </c>
      <c r="I70" s="2">
        <f>I69</f>
        <v>483968.78830000001</v>
      </c>
      <c r="J70" s="158">
        <f>J69</f>
        <v>765.48565293721595</v>
      </c>
      <c r="K70" s="7">
        <f>K69</f>
        <v>606692.0990770536</v>
      </c>
      <c r="L70" s="2">
        <f>L69</f>
        <v>10809.92197075</v>
      </c>
      <c r="M70" s="2">
        <v>0</v>
      </c>
      <c r="N70" s="2">
        <f t="shared" ref="N70:N80" si="42">H70-(I70+L70+M70+J70+K70)</f>
        <v>434375.4915285816</v>
      </c>
      <c r="O70" s="8">
        <f>O69+N70</f>
        <v>7284520.4052084628</v>
      </c>
      <c r="P70" s="198">
        <f t="shared" si="2"/>
        <v>434375.4915285816</v>
      </c>
      <c r="R70" s="8">
        <f>SUM(G69:G80)</f>
        <v>25537296.528095268</v>
      </c>
      <c r="S70" s="158">
        <f>S69*D69</f>
        <v>44469451.578598671</v>
      </c>
      <c r="U70" s="8">
        <f>G81</f>
        <v>25537296.528095268</v>
      </c>
      <c r="V70" s="6">
        <f>U70+'Inputs&amp;Assumptions'!$B$10+('costv.1.1'!$E$92*12)</f>
        <v>42167007.806075916</v>
      </c>
      <c r="W70" s="6">
        <f>V70*W68</f>
        <v>21083503.903037958</v>
      </c>
    </row>
    <row r="71" spans="1:23">
      <c r="A71">
        <v>51</v>
      </c>
      <c r="B71">
        <v>3</v>
      </c>
      <c r="C71" t="s">
        <v>315</v>
      </c>
      <c r="D71" s="158">
        <f t="shared" ref="D71:D80" si="43">D70</f>
        <v>1018.6915887850466</v>
      </c>
      <c r="E71" s="165">
        <f t="shared" si="39"/>
        <v>3563.7660384742221</v>
      </c>
      <c r="F71" s="2">
        <f t="shared" si="41"/>
        <v>3630378.4877914968</v>
      </c>
      <c r="G71" s="2">
        <f>'Inputs&amp;Assumptions'!$B$4*E71</f>
        <v>2084803.1325074199</v>
      </c>
      <c r="H71" s="2">
        <f t="shared" si="40"/>
        <v>1545575.3552840769</v>
      </c>
      <c r="I71" s="2">
        <f t="shared" ref="I71:K80" si="44">I70</f>
        <v>483968.78830000001</v>
      </c>
      <c r="J71" s="158">
        <f t="shared" si="44"/>
        <v>765.48565293721595</v>
      </c>
      <c r="K71" s="7">
        <f t="shared" si="44"/>
        <v>606692.0990770536</v>
      </c>
      <c r="L71" s="2">
        <f t="shared" ref="L71:L80" si="45">L70</f>
        <v>10809.92197075</v>
      </c>
      <c r="M71" s="2">
        <v>0</v>
      </c>
      <c r="N71" s="2">
        <f t="shared" si="42"/>
        <v>443339.06028333609</v>
      </c>
      <c r="O71" s="8">
        <f t="shared" ref="O71:O80" si="46">O70+N71</f>
        <v>7727859.4654917987</v>
      </c>
      <c r="P71" s="198">
        <f t="shared" si="2"/>
        <v>443339.06028333609</v>
      </c>
      <c r="U71" s="6"/>
    </row>
    <row r="72" spans="1:23">
      <c r="A72">
        <v>52</v>
      </c>
      <c r="B72">
        <v>4</v>
      </c>
      <c r="C72" t="s">
        <v>316</v>
      </c>
      <c r="D72" s="158">
        <f t="shared" si="43"/>
        <v>1018.6915887850466</v>
      </c>
      <c r="E72" s="165">
        <f t="shared" si="39"/>
        <v>3584.5546736986548</v>
      </c>
      <c r="F72" s="2">
        <f t="shared" si="41"/>
        <v>3651555.6956369472</v>
      </c>
      <c r="G72" s="2">
        <f>'Inputs&amp;Assumptions'!$B$4*E72</f>
        <v>2096964.484113713</v>
      </c>
      <c r="H72" s="2">
        <f t="shared" si="40"/>
        <v>1554591.2115232341</v>
      </c>
      <c r="I72" s="2">
        <f t="shared" si="44"/>
        <v>483968.78830000001</v>
      </c>
      <c r="J72" s="158">
        <f t="shared" si="44"/>
        <v>765.48565293721595</v>
      </c>
      <c r="K72" s="7">
        <f t="shared" si="44"/>
        <v>606692.0990770536</v>
      </c>
      <c r="L72" s="2">
        <f t="shared" si="45"/>
        <v>10809.92197075</v>
      </c>
      <c r="M72" s="2">
        <v>0</v>
      </c>
      <c r="N72" s="2">
        <f t="shared" si="42"/>
        <v>452354.91652249335</v>
      </c>
      <c r="O72" s="8">
        <f t="shared" si="46"/>
        <v>8180214.3820142923</v>
      </c>
      <c r="P72" s="198">
        <f t="shared" si="2"/>
        <v>452354.91652249335</v>
      </c>
      <c r="R72" s="180" t="s">
        <v>317</v>
      </c>
      <c r="V72" t="s">
        <v>318</v>
      </c>
    </row>
    <row r="73" spans="1:23">
      <c r="A73">
        <v>53</v>
      </c>
      <c r="B73">
        <v>5</v>
      </c>
      <c r="C73" t="s">
        <v>319</v>
      </c>
      <c r="D73" s="158">
        <f t="shared" si="43"/>
        <v>1018.6915887850466</v>
      </c>
      <c r="E73" s="165">
        <f t="shared" si="39"/>
        <v>3605.4645759618975</v>
      </c>
      <c r="F73" s="2">
        <f t="shared" si="41"/>
        <v>3672856.4371948298</v>
      </c>
      <c r="G73" s="2">
        <f>'Inputs&amp;Assumptions'!$B$4*E73</f>
        <v>2109196.7769377101</v>
      </c>
      <c r="H73" s="2">
        <f t="shared" si="40"/>
        <v>1563659.6602571197</v>
      </c>
      <c r="I73" s="2">
        <f t="shared" si="44"/>
        <v>483968.78830000001</v>
      </c>
      <c r="J73" s="158">
        <f t="shared" si="44"/>
        <v>765.48565293721595</v>
      </c>
      <c r="K73" s="7">
        <f t="shared" si="44"/>
        <v>606692.0990770536</v>
      </c>
      <c r="L73" s="2">
        <f t="shared" si="45"/>
        <v>10809.92197075</v>
      </c>
      <c r="M73" s="2">
        <v>0</v>
      </c>
      <c r="N73" s="2">
        <f t="shared" si="42"/>
        <v>461423.36525637889</v>
      </c>
      <c r="O73" s="8">
        <f t="shared" si="46"/>
        <v>8641637.7472706717</v>
      </c>
      <c r="P73" s="198">
        <f t="shared" ref="P73:P80" si="47">H73-(I73+J73+K73+L73)</f>
        <v>461423.36525637889</v>
      </c>
      <c r="R73" s="4">
        <f>R70/S70</f>
        <v>0.57426605504587169</v>
      </c>
      <c r="V73" s="6">
        <f>V70+W70</f>
        <v>63250511.709113874</v>
      </c>
    </row>
    <row r="74" spans="1:23">
      <c r="A74">
        <v>54</v>
      </c>
      <c r="B74">
        <v>6</v>
      </c>
      <c r="C74" t="s">
        <v>320</v>
      </c>
      <c r="D74" s="158">
        <f t="shared" si="43"/>
        <v>1018.6915887850466</v>
      </c>
      <c r="E74" s="165">
        <f t="shared" si="39"/>
        <v>3626.4964526550089</v>
      </c>
      <c r="F74" s="2">
        <f t="shared" si="41"/>
        <v>3694281.4330784664</v>
      </c>
      <c r="G74" s="2">
        <f>'Inputs&amp;Assumptions'!$B$4*E74</f>
        <v>2121500.4248031802</v>
      </c>
      <c r="H74" s="2">
        <f t="shared" si="40"/>
        <v>1572781.0082752863</v>
      </c>
      <c r="I74" s="2">
        <f t="shared" si="44"/>
        <v>483968.78830000001</v>
      </c>
      <c r="J74" s="158">
        <f t="shared" si="44"/>
        <v>765.48565293721595</v>
      </c>
      <c r="K74" s="7">
        <f t="shared" si="44"/>
        <v>606692.0990770536</v>
      </c>
      <c r="L74" s="2">
        <f t="shared" si="45"/>
        <v>10809.92197075</v>
      </c>
      <c r="M74" s="2">
        <v>0</v>
      </c>
      <c r="N74" s="2">
        <f t="shared" si="42"/>
        <v>470544.7132745455</v>
      </c>
      <c r="O74" s="8">
        <f t="shared" si="46"/>
        <v>9112182.4605452176</v>
      </c>
      <c r="P74" s="198">
        <f t="shared" si="47"/>
        <v>470544.7132745455</v>
      </c>
      <c r="U74" s="6"/>
    </row>
    <row r="75" spans="1:23">
      <c r="A75">
        <v>55</v>
      </c>
      <c r="B75">
        <v>7</v>
      </c>
      <c r="C75" t="s">
        <v>323</v>
      </c>
      <c r="D75" s="158">
        <f t="shared" si="43"/>
        <v>1018.6915887850466</v>
      </c>
      <c r="E75" s="165">
        <f t="shared" si="39"/>
        <v>3647.6510152954957</v>
      </c>
      <c r="F75" s="2">
        <f t="shared" si="41"/>
        <v>3715831.4081047568</v>
      </c>
      <c r="G75" s="2">
        <f>'Inputs&amp;Assumptions'!$B$4*E75</f>
        <v>2133875.8439478651</v>
      </c>
      <c r="H75" s="2">
        <f t="shared" si="40"/>
        <v>1581955.5641568918</v>
      </c>
      <c r="I75" s="2">
        <f t="shared" si="44"/>
        <v>483968.78830000001</v>
      </c>
      <c r="J75" s="158">
        <f t="shared" si="44"/>
        <v>765.48565293721595</v>
      </c>
      <c r="K75" s="7">
        <f t="shared" si="44"/>
        <v>606692.0990770536</v>
      </c>
      <c r="L75" s="2">
        <f t="shared" si="45"/>
        <v>10809.92197075</v>
      </c>
      <c r="M75" s="2">
        <v>0</v>
      </c>
      <c r="N75" s="2">
        <f t="shared" si="42"/>
        <v>479719.26915615099</v>
      </c>
      <c r="O75" s="8">
        <f t="shared" si="46"/>
        <v>9591901.7297013681</v>
      </c>
      <c r="P75" s="198">
        <f t="shared" si="47"/>
        <v>479719.26915615099</v>
      </c>
      <c r="U75" s="6"/>
      <c r="V75" s="6">
        <f>P81+W76</f>
        <v>5705319.5104945134</v>
      </c>
    </row>
    <row r="76" spans="1:23">
      <c r="A76">
        <v>56</v>
      </c>
      <c r="B76">
        <v>8</v>
      </c>
      <c r="C76" t="s">
        <v>324</v>
      </c>
      <c r="D76" s="158">
        <f t="shared" si="43"/>
        <v>1018.6915887850466</v>
      </c>
      <c r="E76" s="165">
        <f t="shared" si="39"/>
        <v>3668.9289795513864</v>
      </c>
      <c r="F76" s="2">
        <f t="shared" si="41"/>
        <v>3737507.0913187019</v>
      </c>
      <c r="G76" s="2">
        <f>'Inputs&amp;Assumptions'!$B$4*E76</f>
        <v>2146323.4530375609</v>
      </c>
      <c r="H76" s="2">
        <f t="shared" si="40"/>
        <v>1591183.6382811409</v>
      </c>
      <c r="I76" s="2">
        <f t="shared" si="44"/>
        <v>483968.78830000001</v>
      </c>
      <c r="J76" s="158">
        <f t="shared" si="44"/>
        <v>765.48565293721595</v>
      </c>
      <c r="K76" s="7">
        <f t="shared" si="44"/>
        <v>606692.0990770536</v>
      </c>
      <c r="L76" s="2">
        <f t="shared" si="45"/>
        <v>10809.92197075</v>
      </c>
      <c r="M76" s="2">
        <v>0</v>
      </c>
      <c r="N76" s="2">
        <f t="shared" si="42"/>
        <v>488947.34328040015</v>
      </c>
      <c r="O76" s="8">
        <f t="shared" si="46"/>
        <v>10080849.072981767</v>
      </c>
      <c r="P76" s="198">
        <f t="shared" si="47"/>
        <v>488947.34328040015</v>
      </c>
      <c r="U76" s="6"/>
      <c r="V76" s="8">
        <f>V70-$M$2</f>
        <v>38112423.206075914</v>
      </c>
      <c r="W76" s="6">
        <f>'Inputs&amp;Assumptions'!B39</f>
        <v>810916.92</v>
      </c>
    </row>
    <row r="77" spans="1:23">
      <c r="A77">
        <v>57</v>
      </c>
      <c r="B77">
        <v>9</v>
      </c>
      <c r="C77" t="s">
        <v>325</v>
      </c>
      <c r="D77" s="158">
        <f t="shared" si="43"/>
        <v>1018.6915887850466</v>
      </c>
      <c r="E77" s="165">
        <f t="shared" si="39"/>
        <v>3690.3310652654368</v>
      </c>
      <c r="F77" s="2">
        <f t="shared" si="41"/>
        <v>3759309.2160180616</v>
      </c>
      <c r="G77" s="2">
        <f>'Inputs&amp;Assumptions'!$B$4*E77</f>
        <v>2158843.6731802807</v>
      </c>
      <c r="H77" s="2">
        <f t="shared" si="40"/>
        <v>1600465.5428377809</v>
      </c>
      <c r="I77" s="2">
        <f t="shared" si="44"/>
        <v>483968.78830000001</v>
      </c>
      <c r="J77" s="158">
        <f t="shared" si="44"/>
        <v>765.48565293721595</v>
      </c>
      <c r="K77" s="7">
        <f t="shared" si="44"/>
        <v>606692.0990770536</v>
      </c>
      <c r="L77" s="2">
        <f t="shared" si="45"/>
        <v>10809.92197075</v>
      </c>
      <c r="M77" s="2">
        <v>0</v>
      </c>
      <c r="N77" s="2">
        <f t="shared" si="42"/>
        <v>498229.24783704011</v>
      </c>
      <c r="O77" s="8">
        <f t="shared" si="46"/>
        <v>10579078.320818808</v>
      </c>
      <c r="P77" s="198">
        <f t="shared" si="47"/>
        <v>498229.24783704011</v>
      </c>
      <c r="U77" s="6"/>
      <c r="V77" s="171">
        <f>((P81+W76)/V76)</f>
        <v>0.14969710741417688</v>
      </c>
    </row>
    <row r="78" spans="1:23">
      <c r="A78">
        <v>58</v>
      </c>
      <c r="B78">
        <v>10</v>
      </c>
      <c r="C78" t="s">
        <v>326</v>
      </c>
      <c r="D78" s="158">
        <f t="shared" si="43"/>
        <v>1018.6915887850466</v>
      </c>
      <c r="E78" s="165">
        <f t="shared" si="39"/>
        <v>3711.8579964794844</v>
      </c>
      <c r="F78" s="2">
        <f t="shared" si="41"/>
        <v>3781238.519778166</v>
      </c>
      <c r="G78" s="2">
        <f>'Inputs&amp;Assumptions'!$B$4*E78</f>
        <v>2171436.9279404986</v>
      </c>
      <c r="H78" s="2">
        <f t="shared" si="40"/>
        <v>1609801.5918376674</v>
      </c>
      <c r="I78" s="2">
        <f t="shared" si="44"/>
        <v>483968.78830000001</v>
      </c>
      <c r="J78" s="158">
        <f t="shared" si="44"/>
        <v>765.48565293721595</v>
      </c>
      <c r="K78" s="7">
        <f t="shared" si="44"/>
        <v>606692.0990770536</v>
      </c>
      <c r="L78" s="2">
        <f t="shared" si="45"/>
        <v>10809.92197075</v>
      </c>
      <c r="M78" s="2">
        <v>0</v>
      </c>
      <c r="N78" s="2">
        <f t="shared" si="42"/>
        <v>507565.2968369266</v>
      </c>
      <c r="O78" s="8">
        <f t="shared" si="46"/>
        <v>11086643.617655735</v>
      </c>
      <c r="P78" s="198">
        <f t="shared" si="47"/>
        <v>507565.2968369266</v>
      </c>
      <c r="U78" s="6"/>
    </row>
    <row r="79" spans="1:23">
      <c r="A79">
        <v>59</v>
      </c>
      <c r="B79">
        <v>11</v>
      </c>
      <c r="C79" t="s">
        <v>327</v>
      </c>
      <c r="D79" s="158">
        <f t="shared" si="43"/>
        <v>1018.6915887850466</v>
      </c>
      <c r="E79" s="165">
        <f t="shared" si="39"/>
        <v>3733.5105014589485</v>
      </c>
      <c r="F79" s="2">
        <f t="shared" si="41"/>
        <v>3803295.7444768725</v>
      </c>
      <c r="G79" s="2">
        <f>'Inputs&amp;Assumptions'!$B$4*E79</f>
        <v>2184103.643353485</v>
      </c>
      <c r="H79" s="2">
        <f t="shared" si="40"/>
        <v>1619192.1011233875</v>
      </c>
      <c r="I79" s="2">
        <f t="shared" si="44"/>
        <v>483968.78830000001</v>
      </c>
      <c r="J79" s="158">
        <f t="shared" si="44"/>
        <v>765.48565293721595</v>
      </c>
      <c r="K79" s="7">
        <f t="shared" si="44"/>
        <v>606692.0990770536</v>
      </c>
      <c r="L79" s="2">
        <f t="shared" si="45"/>
        <v>10809.92197075</v>
      </c>
      <c r="M79" s="2">
        <v>0</v>
      </c>
      <c r="N79" s="2">
        <f t="shared" si="42"/>
        <v>516955.80612264667</v>
      </c>
      <c r="O79" s="8">
        <f t="shared" si="46"/>
        <v>11603599.423778381</v>
      </c>
      <c r="P79" s="198">
        <f t="shared" si="47"/>
        <v>516955.80612264667</v>
      </c>
      <c r="U79" s="6"/>
    </row>
    <row r="80" spans="1:23">
      <c r="A80">
        <v>60</v>
      </c>
      <c r="B80">
        <v>12</v>
      </c>
      <c r="C80" t="s">
        <v>328</v>
      </c>
      <c r="D80" s="158">
        <f t="shared" si="43"/>
        <v>1018.6915887850466</v>
      </c>
      <c r="E80" s="165">
        <f t="shared" si="39"/>
        <v>3755.2893127174589</v>
      </c>
      <c r="F80" s="2">
        <f t="shared" si="41"/>
        <v>3825481.6363196541</v>
      </c>
      <c r="G80" s="2">
        <f>'Inputs&amp;Assumptions'!$B$4*E80</f>
        <v>2196844.2479397133</v>
      </c>
      <c r="H80" s="2">
        <f t="shared" si="40"/>
        <v>1628637.3883799408</v>
      </c>
      <c r="I80" s="2">
        <f t="shared" si="44"/>
        <v>483968.78830000001</v>
      </c>
      <c r="J80" s="158">
        <f t="shared" si="44"/>
        <v>765.48565293721595</v>
      </c>
      <c r="K80" s="7">
        <f t="shared" si="44"/>
        <v>606692.0990770536</v>
      </c>
      <c r="L80" s="2">
        <f t="shared" si="45"/>
        <v>10809.92197075</v>
      </c>
      <c r="M80" s="2">
        <v>0</v>
      </c>
      <c r="N80" s="2">
        <f t="shared" si="42"/>
        <v>526401.09337919997</v>
      </c>
      <c r="O80" s="8">
        <f t="shared" si="46"/>
        <v>12130000.517157581</v>
      </c>
      <c r="P80" s="198">
        <f t="shared" si="47"/>
        <v>526401.09337919997</v>
      </c>
      <c r="Q80" s="180" t="s">
        <v>329</v>
      </c>
      <c r="R80" s="204" t="s">
        <v>330</v>
      </c>
      <c r="S80" t="s">
        <v>331</v>
      </c>
    </row>
    <row r="81" spans="5:19">
      <c r="E81" s="196">
        <f>SUM(E69:E80)</f>
        <v>43653.498338624384</v>
      </c>
      <c r="F81" s="196">
        <f>SUM(F69:F80)</f>
        <v>44469451.578598663</v>
      </c>
      <c r="G81" s="196">
        <f t="shared" ref="G81:L81" si="48">SUM(G69:G80)</f>
        <v>25537296.528095268</v>
      </c>
      <c r="H81" s="196">
        <f t="shared" si="48"/>
        <v>18932155.050503403</v>
      </c>
      <c r="I81" s="196">
        <f t="shared" si="48"/>
        <v>5807625.4596000006</v>
      </c>
      <c r="J81" s="196">
        <f t="shared" si="48"/>
        <v>9185.8278352465895</v>
      </c>
      <c r="K81" s="196">
        <f t="shared" si="48"/>
        <v>7280305.1889246413</v>
      </c>
      <c r="L81" s="196">
        <f t="shared" si="48"/>
        <v>129719.063649</v>
      </c>
      <c r="O81" s="6">
        <f>SUM(P69:P80)</f>
        <v>5705319.5104945134</v>
      </c>
      <c r="P81" s="6">
        <f>O81-P67</f>
        <v>4894402.5904945135</v>
      </c>
      <c r="Q81" s="6">
        <f>Tax!V68</f>
        <v>629507.3398841524</v>
      </c>
      <c r="R81" s="6">
        <f>Tax!T71</f>
        <v>698605.87190732197</v>
      </c>
      <c r="S81" s="189">
        <f>P81-Q81-R81</f>
        <v>3566289.3787030391</v>
      </c>
    </row>
    <row r="82" spans="5:19">
      <c r="O82" s="6"/>
    </row>
    <row r="84" spans="5:19">
      <c r="O84" s="6"/>
    </row>
  </sheetData>
  <phoneticPr fontId="3" type="noConversion"/>
  <conditionalFormatting sqref="P5">
    <cfRule type="cellIs" dxfId="0" priority="1" operator="between">
      <formula>$N$5</formula>
      <formula>$O$5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C061D-57CB-4455-8991-783071A09CF1}">
  <dimension ref="B1:Z77"/>
  <sheetViews>
    <sheetView zoomScale="40" zoomScaleNormal="40" workbookViewId="0">
      <selection activeCell="S19" sqref="S19:V23"/>
    </sheetView>
  </sheetViews>
  <sheetFormatPr defaultRowHeight="14.25"/>
  <cols>
    <col min="9" max="9" width="13.375" customWidth="1"/>
    <col min="12" max="12" width="10.625" customWidth="1"/>
    <col min="14" max="14" width="11.375" customWidth="1"/>
    <col min="15" max="15" width="14.875" customWidth="1"/>
    <col min="16" max="16" width="13.875" bestFit="1" customWidth="1"/>
    <col min="17" max="17" width="14.125" bestFit="1" customWidth="1"/>
    <col min="18" max="18" width="19.125" customWidth="1"/>
    <col min="19" max="19" width="18.375" customWidth="1"/>
    <col min="20" max="20" width="18.25" customWidth="1"/>
    <col min="21" max="21" width="14.75" bestFit="1" customWidth="1"/>
    <col min="22" max="22" width="13.125" bestFit="1" customWidth="1"/>
    <col min="24" max="24" width="20.5" bestFit="1" customWidth="1"/>
    <col min="26" max="26" width="11.375" bestFit="1" customWidth="1"/>
    <col min="36" max="36" width="9" customWidth="1"/>
    <col min="38" max="38" width="9" customWidth="1"/>
  </cols>
  <sheetData>
    <row r="1" spans="2:26" ht="12.75" customHeight="1"/>
    <row r="2" spans="2:26">
      <c r="B2" s="197"/>
      <c r="D2" t="s">
        <v>241</v>
      </c>
      <c r="E2" t="s">
        <v>26</v>
      </c>
      <c r="F2" t="s">
        <v>31</v>
      </c>
      <c r="G2" t="s">
        <v>298</v>
      </c>
      <c r="H2" t="s">
        <v>299</v>
      </c>
      <c r="I2" t="s">
        <v>300</v>
      </c>
      <c r="J2" t="s">
        <v>301</v>
      </c>
      <c r="K2" t="s">
        <v>273</v>
      </c>
      <c r="L2" t="s">
        <v>302</v>
      </c>
      <c r="M2" t="s">
        <v>58</v>
      </c>
      <c r="N2" t="s">
        <v>303</v>
      </c>
      <c r="O2" t="s">
        <v>304</v>
      </c>
      <c r="P2" t="s">
        <v>305</v>
      </c>
      <c r="Q2" t="s">
        <v>306</v>
      </c>
      <c r="X2">
        <v>0.15</v>
      </c>
    </row>
    <row r="3" spans="2:26">
      <c r="B3">
        <v>1</v>
      </c>
      <c r="C3">
        <v>1</v>
      </c>
      <c r="D3" t="s">
        <v>311</v>
      </c>
      <c r="E3">
        <v>1018.6915887850466</v>
      </c>
      <c r="F3">
        <v>2541</v>
      </c>
      <c r="G3">
        <v>2588495.3271028036</v>
      </c>
      <c r="H3">
        <v>1486485</v>
      </c>
      <c r="I3">
        <v>1102010.3271028036</v>
      </c>
      <c r="J3">
        <v>430000</v>
      </c>
      <c r="K3">
        <v>680.12408800000048</v>
      </c>
      <c r="L3">
        <v>606692.0990770536</v>
      </c>
      <c r="M3">
        <v>10555</v>
      </c>
      <c r="N3">
        <v>0</v>
      </c>
      <c r="O3">
        <v>54083.103937749984</v>
      </c>
      <c r="P3">
        <v>-4000501.4960622499</v>
      </c>
      <c r="Q3" s="198">
        <v>54083.103937749984</v>
      </c>
      <c r="S3" s="194" t="s">
        <v>333</v>
      </c>
      <c r="T3" s="194" t="s">
        <v>334</v>
      </c>
      <c r="U3" s="163"/>
      <c r="V3" s="163"/>
      <c r="X3" s="6">
        <f>G3*$X$2</f>
        <v>388274.29906542052</v>
      </c>
      <c r="Z3" s="6">
        <f>(X16+X32+X47+X62+X77)/5</f>
        <v>465529.47466591978</v>
      </c>
    </row>
    <row r="4" spans="2:26">
      <c r="B4">
        <v>2</v>
      </c>
      <c r="C4">
        <v>2</v>
      </c>
      <c r="D4" t="s">
        <v>314</v>
      </c>
      <c r="E4">
        <v>1018.6915887850466</v>
      </c>
      <c r="F4">
        <v>2555.8225000000002</v>
      </c>
      <c r="G4">
        <v>2603594.8831775701</v>
      </c>
      <c r="H4">
        <v>1495156.1625000001</v>
      </c>
      <c r="I4">
        <v>1108438.72067757</v>
      </c>
      <c r="J4">
        <v>430000</v>
      </c>
      <c r="K4">
        <v>680.12408800000048</v>
      </c>
      <c r="L4">
        <v>606692.0990770536</v>
      </c>
      <c r="M4">
        <v>10555</v>
      </c>
      <c r="N4">
        <v>0</v>
      </c>
      <c r="O4">
        <v>60511.497512516333</v>
      </c>
      <c r="P4">
        <v>-3939989.9985497333</v>
      </c>
      <c r="Q4" s="198">
        <v>60511.497512516333</v>
      </c>
      <c r="S4" s="194" t="s">
        <v>335</v>
      </c>
      <c r="T4" s="5">
        <v>0</v>
      </c>
      <c r="U4" s="182">
        <f>IF(Q15&gt;300000,300000,0)</f>
        <v>0</v>
      </c>
      <c r="V4" s="184">
        <f>U4*T4</f>
        <v>0</v>
      </c>
      <c r="X4" s="6">
        <f t="shared" ref="X4:X14" si="0">G4*$X$2</f>
        <v>390539.23247663549</v>
      </c>
    </row>
    <row r="5" spans="2:26">
      <c r="B5">
        <v>3</v>
      </c>
      <c r="C5">
        <v>3</v>
      </c>
      <c r="D5" t="s">
        <v>315</v>
      </c>
      <c r="E5">
        <v>1018.6915887850466</v>
      </c>
      <c r="F5">
        <v>2570.7314645833335</v>
      </c>
      <c r="G5">
        <v>2618782.5199961057</v>
      </c>
      <c r="H5">
        <v>1503877.9067812501</v>
      </c>
      <c r="I5">
        <v>1114904.6132148555</v>
      </c>
      <c r="J5">
        <v>430000</v>
      </c>
      <c r="K5">
        <v>680.12408800000048</v>
      </c>
      <c r="L5">
        <v>606692.0990770536</v>
      </c>
      <c r="M5">
        <v>10555</v>
      </c>
      <c r="N5">
        <v>0</v>
      </c>
      <c r="O5">
        <v>66977.390049801907</v>
      </c>
      <c r="P5">
        <v>-3873012.6084999312</v>
      </c>
      <c r="Q5" s="198">
        <v>66977.390049801907</v>
      </c>
      <c r="S5" s="194" t="s">
        <v>336</v>
      </c>
      <c r="T5" s="5">
        <v>0.15</v>
      </c>
      <c r="U5" s="182">
        <f>IF((Q15-300000)&gt;2700000,2700000,(Q15-300000))</f>
        <v>-29286.629294633982</v>
      </c>
      <c r="V5" s="184">
        <f>U5*T5</f>
        <v>-4392.9943941950969</v>
      </c>
      <c r="X5" s="6">
        <f t="shared" si="0"/>
        <v>392817.37799941585</v>
      </c>
    </row>
    <row r="6" spans="2:26">
      <c r="B6">
        <v>4</v>
      </c>
      <c r="C6">
        <v>4</v>
      </c>
      <c r="D6" t="s">
        <v>316</v>
      </c>
      <c r="E6">
        <v>1018.6915887850466</v>
      </c>
      <c r="F6">
        <v>2585.7273981267363</v>
      </c>
      <c r="G6">
        <v>2634058.7513627498</v>
      </c>
      <c r="H6">
        <v>1512650.5279041408</v>
      </c>
      <c r="I6">
        <v>1121408.2234586091</v>
      </c>
      <c r="J6">
        <v>430000</v>
      </c>
      <c r="K6">
        <v>680.12408800000048</v>
      </c>
      <c r="L6">
        <v>606692.0990770536</v>
      </c>
      <c r="M6">
        <v>10555</v>
      </c>
      <c r="N6">
        <v>0</v>
      </c>
      <c r="O6">
        <v>73481.000293555437</v>
      </c>
      <c r="P6">
        <v>-3799531.6082063755</v>
      </c>
      <c r="Q6" s="198">
        <v>73481.000293555437</v>
      </c>
      <c r="S6" s="194" t="s">
        <v>337</v>
      </c>
      <c r="T6" s="5">
        <v>0.2</v>
      </c>
      <c r="U6" s="182">
        <f>Q15-300000-U5</f>
        <v>0</v>
      </c>
      <c r="V6" s="184">
        <f>U6*T6</f>
        <v>0</v>
      </c>
      <c r="X6" s="6">
        <f t="shared" si="0"/>
        <v>395108.81270441244</v>
      </c>
    </row>
    <row r="7" spans="2:26">
      <c r="B7">
        <v>5</v>
      </c>
      <c r="C7">
        <v>5</v>
      </c>
      <c r="D7" t="s">
        <v>319</v>
      </c>
      <c r="E7">
        <v>1018.6915887850466</v>
      </c>
      <c r="F7">
        <v>2600.8108079491421</v>
      </c>
      <c r="G7">
        <v>2649424.0940790325</v>
      </c>
      <c r="H7">
        <v>1521474.3226502482</v>
      </c>
      <c r="I7">
        <v>1127949.7714287844</v>
      </c>
      <c r="J7">
        <v>430000</v>
      </c>
      <c r="K7">
        <v>680.12408800000048</v>
      </c>
      <c r="L7">
        <v>606692.0990770536</v>
      </c>
      <c r="M7">
        <v>10555</v>
      </c>
      <c r="N7">
        <v>0</v>
      </c>
      <c r="O7">
        <v>80022.548263730714</v>
      </c>
      <c r="P7">
        <v>-3719509.059942645</v>
      </c>
      <c r="Q7" s="198">
        <v>80022.548263730714</v>
      </c>
      <c r="S7" s="199" t="s">
        <v>14</v>
      </c>
      <c r="U7" s="6"/>
      <c r="V7" s="200">
        <f>MAX(SUM(V4:V6),0)</f>
        <v>0</v>
      </c>
      <c r="X7" s="6">
        <f t="shared" si="0"/>
        <v>397413.61411185487</v>
      </c>
    </row>
    <row r="8" spans="2:26">
      <c r="B8">
        <v>6</v>
      </c>
      <c r="C8">
        <v>6</v>
      </c>
      <c r="D8" t="s">
        <v>320</v>
      </c>
      <c r="E8">
        <v>1018.6915887850466</v>
      </c>
      <c r="F8">
        <v>2615.9822043288459</v>
      </c>
      <c r="G8">
        <v>2664879.0679611606</v>
      </c>
      <c r="H8">
        <v>1530349.5895323749</v>
      </c>
      <c r="I8">
        <v>1134529.4784287857</v>
      </c>
      <c r="J8">
        <v>430000</v>
      </c>
      <c r="K8">
        <v>680.12408800000048</v>
      </c>
      <c r="L8">
        <v>606692.0990770536</v>
      </c>
      <c r="M8">
        <v>10555</v>
      </c>
      <c r="N8">
        <v>0</v>
      </c>
      <c r="O8">
        <v>86602.255263732048</v>
      </c>
      <c r="P8">
        <v>-3632906.8046789132</v>
      </c>
      <c r="Q8" s="198">
        <v>86602.255263732048</v>
      </c>
      <c r="X8" s="6">
        <f t="shared" si="0"/>
        <v>399731.86019417405</v>
      </c>
    </row>
    <row r="9" spans="2:26">
      <c r="B9">
        <v>7</v>
      </c>
      <c r="C9">
        <v>7</v>
      </c>
      <c r="D9" t="s">
        <v>323</v>
      </c>
      <c r="E9">
        <v>1018.6915887850466</v>
      </c>
      <c r="F9">
        <v>2631.2421005207639</v>
      </c>
      <c r="G9">
        <v>2680424.1958576003</v>
      </c>
      <c r="H9">
        <v>1539276.6288046469</v>
      </c>
      <c r="I9">
        <v>1141147.5670529534</v>
      </c>
      <c r="J9">
        <v>430000</v>
      </c>
      <c r="K9">
        <v>680.12408800000048</v>
      </c>
      <c r="L9">
        <v>606692.0990770536</v>
      </c>
      <c r="M9">
        <v>10555</v>
      </c>
      <c r="N9">
        <v>0</v>
      </c>
      <c r="O9">
        <v>93220.343887899769</v>
      </c>
      <c r="P9">
        <v>-3539686.4607910132</v>
      </c>
      <c r="Q9" s="198">
        <v>93220.343887899769</v>
      </c>
      <c r="S9" s="180" t="s">
        <v>338</v>
      </c>
      <c r="T9" s="202" t="s">
        <v>330</v>
      </c>
      <c r="X9" s="6">
        <f t="shared" si="0"/>
        <v>402063.62937864003</v>
      </c>
    </row>
    <row r="10" spans="2:26">
      <c r="B10">
        <v>8</v>
      </c>
      <c r="C10">
        <v>8</v>
      </c>
      <c r="D10" t="s">
        <v>324</v>
      </c>
      <c r="E10">
        <v>1018.6915887850466</v>
      </c>
      <c r="F10">
        <v>2646.5910127738016</v>
      </c>
      <c r="G10">
        <v>2696060.0036667697</v>
      </c>
      <c r="H10">
        <v>1548255.742472674</v>
      </c>
      <c r="I10">
        <v>1147804.2611940957</v>
      </c>
      <c r="J10">
        <v>430000</v>
      </c>
      <c r="K10">
        <v>680.12408800000048</v>
      </c>
      <c r="L10">
        <v>606692.0990770536</v>
      </c>
      <c r="M10">
        <v>10555</v>
      </c>
      <c r="N10">
        <v>0</v>
      </c>
      <c r="O10">
        <v>99877.038029042073</v>
      </c>
      <c r="P10">
        <v>-3439809.4227619711</v>
      </c>
      <c r="Q10" s="198">
        <v>99877.038029042073</v>
      </c>
      <c r="S10" s="6">
        <f>Q15-V7</f>
        <v>270713.37070536602</v>
      </c>
      <c r="T10" s="6">
        <f>S10*0.2</f>
        <v>54142.674141073207</v>
      </c>
      <c r="X10" s="6">
        <f t="shared" si="0"/>
        <v>404409.00055001542</v>
      </c>
    </row>
    <row r="11" spans="2:26">
      <c r="B11">
        <v>9</v>
      </c>
      <c r="C11">
        <v>9</v>
      </c>
      <c r="D11" t="s">
        <v>325</v>
      </c>
      <c r="E11">
        <v>1018.6915887850466</v>
      </c>
      <c r="F11">
        <v>2662.0294603483158</v>
      </c>
      <c r="G11">
        <v>2711787.020354826</v>
      </c>
      <c r="H11">
        <v>1557287.2343037648</v>
      </c>
      <c r="I11">
        <v>1154499.7860510612</v>
      </c>
      <c r="J11">
        <v>430000</v>
      </c>
      <c r="K11">
        <v>680.12408800000048</v>
      </c>
      <c r="L11">
        <v>606692.0990770536</v>
      </c>
      <c r="M11">
        <v>10555</v>
      </c>
      <c r="N11">
        <v>0</v>
      </c>
      <c r="O11">
        <v>106572.5628860076</v>
      </c>
      <c r="P11">
        <v>-3333236.8598759635</v>
      </c>
      <c r="Q11" s="198">
        <v>106572.5628860076</v>
      </c>
      <c r="X11" s="6">
        <f t="shared" si="0"/>
        <v>406768.05305322388</v>
      </c>
    </row>
    <row r="12" spans="2:26">
      <c r="B12">
        <v>10</v>
      </c>
      <c r="C12">
        <v>10</v>
      </c>
      <c r="D12" t="s">
        <v>326</v>
      </c>
      <c r="E12">
        <v>1018.6915887850466</v>
      </c>
      <c r="F12">
        <v>2677.557965533681</v>
      </c>
      <c r="G12">
        <v>2727605.7779735625</v>
      </c>
      <c r="H12">
        <v>1566371.4098372033</v>
      </c>
      <c r="I12">
        <v>1161234.3681363591</v>
      </c>
      <c r="J12">
        <v>430000</v>
      </c>
      <c r="K12">
        <v>680.12408800000048</v>
      </c>
      <c r="L12">
        <v>606692.0990770536</v>
      </c>
      <c r="M12">
        <v>10555</v>
      </c>
      <c r="N12">
        <v>0</v>
      </c>
      <c r="O12">
        <v>113307.1449713055</v>
      </c>
      <c r="P12">
        <v>-3219929.714904658</v>
      </c>
      <c r="Q12" s="198">
        <v>113307.1449713055</v>
      </c>
      <c r="X12" s="6">
        <f t="shared" si="0"/>
        <v>409140.86669603438</v>
      </c>
    </row>
    <row r="13" spans="2:26">
      <c r="B13">
        <v>11</v>
      </c>
      <c r="C13">
        <v>11</v>
      </c>
      <c r="D13" t="s">
        <v>327</v>
      </c>
      <c r="E13">
        <v>1018.6915887850466</v>
      </c>
      <c r="F13">
        <v>2693.177053665961</v>
      </c>
      <c r="G13">
        <v>2743516.8116784086</v>
      </c>
      <c r="H13">
        <v>1575508.5763945873</v>
      </c>
      <c r="I13">
        <v>1168008.2352838214</v>
      </c>
      <c r="J13">
        <v>430000</v>
      </c>
      <c r="K13">
        <v>680.12408800000048</v>
      </c>
      <c r="L13">
        <v>606692.0990770536</v>
      </c>
      <c r="M13">
        <v>10555</v>
      </c>
      <c r="N13">
        <v>0</v>
      </c>
      <c r="O13">
        <v>120081.01211876771</v>
      </c>
      <c r="P13">
        <v>-3099848.7027858905</v>
      </c>
      <c r="Q13" s="198">
        <v>120081.01211876771</v>
      </c>
      <c r="X13" s="6">
        <f t="shared" si="0"/>
        <v>411527.52175176126</v>
      </c>
    </row>
    <row r="14" spans="2:26">
      <c r="B14">
        <v>12</v>
      </c>
      <c r="C14">
        <v>12</v>
      </c>
      <c r="D14" t="s">
        <v>328</v>
      </c>
      <c r="E14">
        <v>1018.6915887850466</v>
      </c>
      <c r="F14">
        <v>2708.8872531456791</v>
      </c>
      <c r="G14">
        <v>2759520.6597465328</v>
      </c>
      <c r="H14">
        <v>1584699.0430902222</v>
      </c>
      <c r="I14">
        <v>1174821.6166563106</v>
      </c>
      <c r="J14">
        <v>430000</v>
      </c>
      <c r="K14">
        <v>680.12408800000048</v>
      </c>
      <c r="L14">
        <v>606692.0990770536</v>
      </c>
      <c r="M14">
        <v>10555</v>
      </c>
      <c r="N14">
        <v>0</v>
      </c>
      <c r="O14">
        <v>126894.39349125698</v>
      </c>
      <c r="P14">
        <v>-2972954.3092946336</v>
      </c>
      <c r="Q14" s="198">
        <v>126894.39349125698</v>
      </c>
      <c r="X14" s="6">
        <f t="shared" si="0"/>
        <v>413928.09896197991</v>
      </c>
    </row>
    <row r="15" spans="2:26">
      <c r="F15">
        <v>31489.559220976262</v>
      </c>
      <c r="G15">
        <v>32078149.11295712</v>
      </c>
      <c r="H15">
        <v>18421392.144271109</v>
      </c>
      <c r="I15">
        <v>13656756.968686011</v>
      </c>
      <c r="J15">
        <v>5160000</v>
      </c>
      <c r="K15">
        <v>8161.4890560000058</v>
      </c>
      <c r="L15">
        <v>7280305.1889246413</v>
      </c>
      <c r="M15">
        <v>126660</v>
      </c>
      <c r="P15">
        <v>1081630.2907053661</v>
      </c>
      <c r="Q15" s="6">
        <v>270713.37070536602</v>
      </c>
      <c r="X15" s="6">
        <f>SUM(X3:X14)</f>
        <v>4811722.3669435689</v>
      </c>
    </row>
    <row r="16" spans="2:26">
      <c r="D16" t="s">
        <v>332</v>
      </c>
      <c r="G16">
        <v>2673179.0927464268</v>
      </c>
      <c r="H16">
        <v>1535116.0120225924</v>
      </c>
      <c r="I16">
        <v>1138063.0807238342</v>
      </c>
      <c r="J16">
        <v>430000</v>
      </c>
      <c r="M16">
        <v>10555</v>
      </c>
      <c r="N16">
        <v>0</v>
      </c>
      <c r="O16">
        <v>90135.85755878051</v>
      </c>
      <c r="X16" s="6">
        <f>AVERAGE(X3:X14)</f>
        <v>400976.86391196406</v>
      </c>
    </row>
    <row r="17" spans="2:24">
      <c r="Q17">
        <v>810916.92</v>
      </c>
    </row>
    <row r="18" spans="2:24">
      <c r="D18" t="s">
        <v>241</v>
      </c>
      <c r="E18" t="s">
        <v>26</v>
      </c>
      <c r="F18" t="s">
        <v>31</v>
      </c>
      <c r="G18" t="s">
        <v>298</v>
      </c>
      <c r="H18" t="s">
        <v>299</v>
      </c>
      <c r="I18" t="s">
        <v>300</v>
      </c>
      <c r="J18" t="s">
        <v>301</v>
      </c>
      <c r="K18" t="s">
        <v>273</v>
      </c>
      <c r="L18" t="s">
        <v>302</v>
      </c>
      <c r="M18" t="s">
        <v>58</v>
      </c>
      <c r="N18" t="s">
        <v>303</v>
      </c>
      <c r="O18" t="s">
        <v>304</v>
      </c>
      <c r="P18" t="s">
        <v>305</v>
      </c>
      <c r="Q18" t="s">
        <v>306</v>
      </c>
    </row>
    <row r="19" spans="2:24">
      <c r="B19">
        <v>13</v>
      </c>
      <c r="C19">
        <v>1</v>
      </c>
      <c r="D19" t="s">
        <v>311</v>
      </c>
      <c r="E19">
        <v>1018.6915887850466</v>
      </c>
      <c r="F19">
        <v>2740.5831151791876</v>
      </c>
      <c r="G19">
        <v>2791808.967799359</v>
      </c>
      <c r="H19">
        <v>1603241.1223798248</v>
      </c>
      <c r="I19">
        <v>1188567.8454195342</v>
      </c>
      <c r="J19">
        <v>442900</v>
      </c>
      <c r="K19">
        <v>700.52781064000055</v>
      </c>
      <c r="L19">
        <v>606692.0990770536</v>
      </c>
      <c r="M19">
        <v>10587.249999999998</v>
      </c>
      <c r="N19">
        <v>0</v>
      </c>
      <c r="O19">
        <v>127687.96853184071</v>
      </c>
      <c r="P19">
        <v>-3155388.0337885101</v>
      </c>
      <c r="Q19" s="198">
        <v>127687.96853184071</v>
      </c>
      <c r="S19" s="194" t="s">
        <v>333</v>
      </c>
      <c r="T19" s="194" t="s">
        <v>334</v>
      </c>
      <c r="U19" s="163"/>
      <c r="V19" s="163"/>
      <c r="X19" s="6">
        <f>G19*$X$2</f>
        <v>418771.34516990383</v>
      </c>
    </row>
    <row r="20" spans="2:24">
      <c r="B20">
        <v>14</v>
      </c>
      <c r="C20">
        <v>2</v>
      </c>
      <c r="D20" t="s">
        <v>314</v>
      </c>
      <c r="E20">
        <v>1018.6915887850466</v>
      </c>
      <c r="F20">
        <v>2756.5698500177327</v>
      </c>
      <c r="G20">
        <v>2808094.5201115217</v>
      </c>
      <c r="H20">
        <v>1612593.3622603735</v>
      </c>
      <c r="I20">
        <v>1195501.1578511482</v>
      </c>
      <c r="J20">
        <v>442900</v>
      </c>
      <c r="K20">
        <v>700.52781064000055</v>
      </c>
      <c r="L20">
        <v>606692.0990770536</v>
      </c>
      <c r="M20">
        <v>10587.249999999998</v>
      </c>
      <c r="N20">
        <v>0</v>
      </c>
      <c r="O20">
        <v>134621.28096345463</v>
      </c>
      <c r="P20">
        <v>-3020766.7528250553</v>
      </c>
      <c r="Q20" s="198">
        <v>134621.28096345463</v>
      </c>
      <c r="S20" s="194" t="s">
        <v>335</v>
      </c>
      <c r="T20" s="5">
        <v>0</v>
      </c>
      <c r="U20" s="182">
        <f>IF(Q31&gt;300000,300000,0)</f>
        <v>300000</v>
      </c>
      <c r="V20" s="184">
        <f>U20*T20</f>
        <v>0</v>
      </c>
      <c r="X20" s="6">
        <f t="shared" ref="X20:X30" si="1">G20*$X$2</f>
        <v>421214.17801672826</v>
      </c>
    </row>
    <row r="21" spans="2:24">
      <c r="B21">
        <v>15</v>
      </c>
      <c r="C21">
        <v>3</v>
      </c>
      <c r="D21" t="s">
        <v>315</v>
      </c>
      <c r="E21">
        <v>1018.6915887850466</v>
      </c>
      <c r="F21">
        <v>2772.6498408095022</v>
      </c>
      <c r="G21">
        <v>2824475.0714788386</v>
      </c>
      <c r="H21">
        <v>1622000.1568735589</v>
      </c>
      <c r="I21">
        <v>1202474.9146052797</v>
      </c>
      <c r="J21">
        <v>442900</v>
      </c>
      <c r="K21">
        <v>700.52781064000055</v>
      </c>
      <c r="L21">
        <v>606692.0990770536</v>
      </c>
      <c r="M21">
        <v>10587.249999999998</v>
      </c>
      <c r="N21">
        <v>0</v>
      </c>
      <c r="O21">
        <v>141595.03771758615</v>
      </c>
      <c r="P21">
        <v>-2879171.7151074689</v>
      </c>
      <c r="Q21" s="198">
        <v>141595.03771758615</v>
      </c>
      <c r="S21" s="194" t="s">
        <v>336</v>
      </c>
      <c r="T21" s="5">
        <v>0.15</v>
      </c>
      <c r="U21" s="182">
        <f>IF((Q31-300000)&gt;2700000,2700000,(Q31-300000))</f>
        <v>887952.95423338329</v>
      </c>
      <c r="V21" s="184">
        <f>U21*T21</f>
        <v>133192.94313500749</v>
      </c>
      <c r="X21" s="6">
        <f t="shared" si="1"/>
        <v>423671.26072182576</v>
      </c>
    </row>
    <row r="22" spans="2:24">
      <c r="B22">
        <v>16</v>
      </c>
      <c r="C22">
        <v>4</v>
      </c>
      <c r="D22" t="s">
        <v>316</v>
      </c>
      <c r="E22">
        <v>1018.6915887850466</v>
      </c>
      <c r="F22">
        <v>2788.8236315475579</v>
      </c>
      <c r="G22">
        <v>2840951.1760624652</v>
      </c>
      <c r="H22">
        <v>1631461.8244553213</v>
      </c>
      <c r="I22">
        <v>1209489.3516071439</v>
      </c>
      <c r="J22">
        <v>442900</v>
      </c>
      <c r="K22">
        <v>700.52781064000055</v>
      </c>
      <c r="L22">
        <v>606692.0990770536</v>
      </c>
      <c r="M22">
        <v>10587.249999999998</v>
      </c>
      <c r="N22">
        <v>0</v>
      </c>
      <c r="O22">
        <v>148609.47471945034</v>
      </c>
      <c r="P22">
        <v>-2730562.2403880185</v>
      </c>
      <c r="Q22" s="198">
        <v>148609.47471945034</v>
      </c>
      <c r="S22" s="194" t="s">
        <v>337</v>
      </c>
      <c r="T22" s="5">
        <v>0.2</v>
      </c>
      <c r="U22" s="182">
        <f>Q31-300000-U21</f>
        <v>0</v>
      </c>
      <c r="V22" s="184">
        <f>U22*T22</f>
        <v>0</v>
      </c>
      <c r="X22" s="6">
        <f t="shared" si="1"/>
        <v>426142.67640936974</v>
      </c>
    </row>
    <row r="23" spans="2:24">
      <c r="B23">
        <v>17</v>
      </c>
      <c r="C23">
        <v>5</v>
      </c>
      <c r="D23" t="s">
        <v>319</v>
      </c>
      <c r="E23">
        <v>1018.6915887850466</v>
      </c>
      <c r="F23">
        <v>2805.0917693982524</v>
      </c>
      <c r="G23">
        <v>2857523.3912561634</v>
      </c>
      <c r="H23">
        <v>1640978.6850979778</v>
      </c>
      <c r="I23">
        <v>1216544.7061581856</v>
      </c>
      <c r="J23">
        <v>442900</v>
      </c>
      <c r="K23">
        <v>700.52781064000055</v>
      </c>
      <c r="L23">
        <v>606692.0990770536</v>
      </c>
      <c r="M23">
        <v>10587.249999999998</v>
      </c>
      <c r="N23">
        <v>0</v>
      </c>
      <c r="O23">
        <v>155664.82927049208</v>
      </c>
      <c r="P23">
        <v>-2574897.4111175267</v>
      </c>
      <c r="Q23" s="198">
        <v>155664.82927049208</v>
      </c>
      <c r="S23" s="199" t="s">
        <v>14</v>
      </c>
      <c r="U23" s="6"/>
      <c r="V23" s="200">
        <f>MAX(SUM(V20:V22),0)</f>
        <v>133192.94313500749</v>
      </c>
      <c r="X23" s="6">
        <f t="shared" si="1"/>
        <v>428628.50868842448</v>
      </c>
    </row>
    <row r="24" spans="2:24">
      <c r="B24">
        <v>18</v>
      </c>
      <c r="C24">
        <v>6</v>
      </c>
      <c r="D24" t="s">
        <v>320</v>
      </c>
      <c r="E24">
        <v>1018.6915887850466</v>
      </c>
      <c r="F24">
        <v>2821.4548047197422</v>
      </c>
      <c r="G24">
        <v>2874192.2777051576</v>
      </c>
      <c r="H24">
        <v>1650551.0607610492</v>
      </c>
      <c r="I24">
        <v>1223641.2169441085</v>
      </c>
      <c r="J24">
        <v>442900</v>
      </c>
      <c r="K24">
        <v>700.52781064000055</v>
      </c>
      <c r="L24">
        <v>606692.0990770536</v>
      </c>
      <c r="M24">
        <v>10587.249999999998</v>
      </c>
      <c r="N24">
        <v>0</v>
      </c>
      <c r="O24">
        <v>162761.34005641495</v>
      </c>
      <c r="P24">
        <v>-2412136.071061112</v>
      </c>
      <c r="Q24" s="198">
        <v>162761.34005641495</v>
      </c>
      <c r="X24" s="6">
        <f t="shared" si="1"/>
        <v>431128.84165577363</v>
      </c>
    </row>
    <row r="25" spans="2:24">
      <c r="B25">
        <v>19</v>
      </c>
      <c r="C25">
        <v>7</v>
      </c>
      <c r="D25" t="s">
        <v>323</v>
      </c>
      <c r="E25">
        <v>1018.6915887850466</v>
      </c>
      <c r="F25">
        <v>2837.9132910806075</v>
      </c>
      <c r="G25">
        <v>2890958.3993251044</v>
      </c>
      <c r="H25">
        <v>1660179.2752821553</v>
      </c>
      <c r="I25">
        <v>1230779.1240429492</v>
      </c>
      <c r="J25">
        <v>442900</v>
      </c>
      <c r="K25">
        <v>700.52781064000055</v>
      </c>
      <c r="L25">
        <v>606692.0990770536</v>
      </c>
      <c r="M25">
        <v>10587.249999999998</v>
      </c>
      <c r="N25">
        <v>0</v>
      </c>
      <c r="O25">
        <v>169899.24715525564</v>
      </c>
      <c r="P25">
        <v>-2242236.8239058563</v>
      </c>
      <c r="Q25" s="198">
        <v>169899.24715525564</v>
      </c>
      <c r="S25" s="180" t="s">
        <v>338</v>
      </c>
      <c r="T25" s="202" t="s">
        <v>330</v>
      </c>
      <c r="X25" s="6">
        <f t="shared" si="1"/>
        <v>433643.75989876565</v>
      </c>
    </row>
    <row r="26" spans="2:24">
      <c r="B26">
        <v>20</v>
      </c>
      <c r="C26">
        <v>8</v>
      </c>
      <c r="D26" t="s">
        <v>324</v>
      </c>
      <c r="E26">
        <v>1018.6915887850466</v>
      </c>
      <c r="F26">
        <v>2854.4677852785776</v>
      </c>
      <c r="G26">
        <v>2907822.3233211674</v>
      </c>
      <c r="H26">
        <v>1669863.6543879679</v>
      </c>
      <c r="I26">
        <v>1237958.6689331995</v>
      </c>
      <c r="J26">
        <v>442900</v>
      </c>
      <c r="K26">
        <v>700.52781064000055</v>
      </c>
      <c r="L26">
        <v>606692.0990770536</v>
      </c>
      <c r="M26">
        <v>10587.249999999998</v>
      </c>
      <c r="N26">
        <v>0</v>
      </c>
      <c r="O26">
        <v>177078.79204550595</v>
      </c>
      <c r="P26">
        <v>-2065158.0318603504</v>
      </c>
      <c r="Q26" s="198">
        <v>177078.79204550595</v>
      </c>
      <c r="S26" s="6">
        <f>Q31-V23</f>
        <v>1054760.0110983758</v>
      </c>
      <c r="T26" s="6">
        <f>S26*0.2</f>
        <v>210952.00221967517</v>
      </c>
      <c r="X26" s="6">
        <f t="shared" si="1"/>
        <v>436173.3484981751</v>
      </c>
    </row>
    <row r="27" spans="2:24">
      <c r="B27">
        <v>21</v>
      </c>
      <c r="C27">
        <v>9</v>
      </c>
      <c r="D27" t="s">
        <v>325</v>
      </c>
      <c r="E27">
        <v>1018.6915887850466</v>
      </c>
      <c r="F27">
        <v>2871.1188473593697</v>
      </c>
      <c r="G27">
        <v>2924784.6202072082</v>
      </c>
      <c r="H27">
        <v>1679604.5257052314</v>
      </c>
      <c r="I27">
        <v>1245180.0945019769</v>
      </c>
      <c r="J27">
        <v>442900</v>
      </c>
      <c r="K27">
        <v>700.52781064000055</v>
      </c>
      <c r="L27">
        <v>606692.0990770536</v>
      </c>
      <c r="M27">
        <v>10587.249999999998</v>
      </c>
      <c r="N27">
        <v>0</v>
      </c>
      <c r="O27">
        <v>184300.21761428332</v>
      </c>
      <c r="P27">
        <v>-1880857.8142460671</v>
      </c>
      <c r="Q27" s="198">
        <v>184300.21761428332</v>
      </c>
      <c r="X27" s="6">
        <f t="shared" si="1"/>
        <v>438717.69303108123</v>
      </c>
    </row>
    <row r="28" spans="2:24">
      <c r="B28">
        <v>22</v>
      </c>
      <c r="C28">
        <v>10</v>
      </c>
      <c r="D28" t="s">
        <v>326</v>
      </c>
      <c r="E28">
        <v>1018.6915887850466</v>
      </c>
      <c r="F28">
        <v>2887.8670406356327</v>
      </c>
      <c r="G28">
        <v>2941845.8638250837</v>
      </c>
      <c r="H28">
        <v>1689402.2187718451</v>
      </c>
      <c r="I28">
        <v>1252443.6450532386</v>
      </c>
      <c r="J28">
        <v>442900</v>
      </c>
      <c r="K28">
        <v>700.52781064000055</v>
      </c>
      <c r="L28">
        <v>606692.0990770536</v>
      </c>
      <c r="M28">
        <v>10587.249999999998</v>
      </c>
      <c r="N28">
        <v>0</v>
      </c>
      <c r="O28">
        <v>191563.76816554507</v>
      </c>
      <c r="P28">
        <v>-1689294.046080522</v>
      </c>
      <c r="Q28" s="198">
        <v>191563.76816554507</v>
      </c>
      <c r="X28" s="6">
        <f t="shared" si="1"/>
        <v>441276.87957376253</v>
      </c>
    </row>
    <row r="29" spans="2:24">
      <c r="B29">
        <v>23</v>
      </c>
      <c r="C29">
        <v>11</v>
      </c>
      <c r="D29" t="s">
        <v>327</v>
      </c>
      <c r="E29">
        <v>1018.6915887850466</v>
      </c>
      <c r="F29">
        <v>2904.7129317060071</v>
      </c>
      <c r="G29">
        <v>2959006.6313640629</v>
      </c>
      <c r="H29">
        <v>1699257.065048014</v>
      </c>
      <c r="I29">
        <v>1259749.5663160488</v>
      </c>
      <c r="J29">
        <v>442900</v>
      </c>
      <c r="K29">
        <v>700.52781064000055</v>
      </c>
      <c r="L29">
        <v>606692.0990770536</v>
      </c>
      <c r="M29">
        <v>10587.249999999998</v>
      </c>
      <c r="N29">
        <v>0</v>
      </c>
      <c r="O29">
        <v>198869.68942835531</v>
      </c>
      <c r="P29">
        <v>-1490424.3566521667</v>
      </c>
      <c r="Q29" s="198">
        <v>198869.68942835531</v>
      </c>
      <c r="X29" s="6">
        <f t="shared" si="1"/>
        <v>443850.99470460945</v>
      </c>
    </row>
    <row r="30" spans="2:24">
      <c r="B30">
        <v>24</v>
      </c>
      <c r="C30">
        <v>12</v>
      </c>
      <c r="D30" t="s">
        <v>328</v>
      </c>
      <c r="E30">
        <v>1018.6915887850466</v>
      </c>
      <c r="F30">
        <v>2921.6570904742921</v>
      </c>
      <c r="G30">
        <v>2976267.5033803536</v>
      </c>
      <c r="H30">
        <v>1709169.397927461</v>
      </c>
      <c r="I30">
        <v>1267098.1054528926</v>
      </c>
      <c r="J30">
        <v>442900</v>
      </c>
      <c r="K30">
        <v>700.52781064000055</v>
      </c>
      <c r="L30">
        <v>606692.0990770536</v>
      </c>
      <c r="M30">
        <v>10587.249999999998</v>
      </c>
      <c r="N30">
        <v>0</v>
      </c>
      <c r="O30">
        <v>206218.22856519907</v>
      </c>
      <c r="P30">
        <v>-1284206.1280869676</v>
      </c>
      <c r="Q30" s="198">
        <v>206218.22856519907</v>
      </c>
      <c r="X30" s="6">
        <f t="shared" si="1"/>
        <v>446440.12550705305</v>
      </c>
    </row>
    <row r="31" spans="2:24">
      <c r="F31">
        <v>33962.909998206458</v>
      </c>
      <c r="G31">
        <v>34597730.745836481</v>
      </c>
      <c r="H31">
        <v>19868302.348950777</v>
      </c>
      <c r="I31">
        <v>14729428.396885706</v>
      </c>
      <c r="J31">
        <v>5314800</v>
      </c>
      <c r="K31">
        <v>8406.3337276800048</v>
      </c>
      <c r="L31">
        <v>7280305.1889246413</v>
      </c>
      <c r="M31">
        <v>127046.99999999999</v>
      </c>
      <c r="P31">
        <v>1998869.8742333832</v>
      </c>
      <c r="Q31" s="6">
        <v>1187952.9542333833</v>
      </c>
      <c r="X31" s="6">
        <f>SUM(X19:X30)</f>
        <v>5189659.6118754726</v>
      </c>
    </row>
    <row r="32" spans="2:24">
      <c r="Q32">
        <v>810916.92</v>
      </c>
      <c r="X32" s="6">
        <f>AVERAGE(X19:X30)</f>
        <v>432471.63432295603</v>
      </c>
    </row>
    <row r="33" spans="2:24">
      <c r="D33" t="s">
        <v>241</v>
      </c>
      <c r="E33" t="s">
        <v>26</v>
      </c>
      <c r="F33" t="s">
        <v>31</v>
      </c>
      <c r="G33" t="s">
        <v>298</v>
      </c>
      <c r="H33" t="s">
        <v>299</v>
      </c>
      <c r="I33" t="s">
        <v>300</v>
      </c>
      <c r="J33" t="s">
        <v>301</v>
      </c>
      <c r="K33" t="s">
        <v>273</v>
      </c>
      <c r="L33" t="s">
        <v>302</v>
      </c>
      <c r="M33" t="s">
        <v>58</v>
      </c>
      <c r="N33" t="s">
        <v>303</v>
      </c>
      <c r="O33" t="s">
        <v>304</v>
      </c>
      <c r="P33" t="s">
        <v>305</v>
      </c>
      <c r="Q33" t="s">
        <v>306</v>
      </c>
    </row>
    <row r="34" spans="2:24">
      <c r="B34">
        <v>25</v>
      </c>
      <c r="C34">
        <v>1</v>
      </c>
      <c r="D34" t="s">
        <v>311</v>
      </c>
      <c r="E34">
        <v>1018.6915887850466</v>
      </c>
      <c r="F34">
        <v>2938.7000901687256</v>
      </c>
      <c r="G34">
        <v>2993629.0638167388</v>
      </c>
      <c r="H34">
        <v>1719139.5527487046</v>
      </c>
      <c r="I34">
        <v>1274489.5110680342</v>
      </c>
      <c r="J34">
        <v>456187</v>
      </c>
      <c r="K34">
        <v>721.54364495920061</v>
      </c>
      <c r="L34">
        <v>606692.0990770536</v>
      </c>
      <c r="M34">
        <v>10740.467500000001</v>
      </c>
      <c r="N34">
        <v>0</v>
      </c>
      <c r="O34">
        <v>200148.40084602148</v>
      </c>
      <c r="P34">
        <v>-1687696.0869956287</v>
      </c>
      <c r="Q34" s="198">
        <v>200148.40084602125</v>
      </c>
      <c r="S34" s="194" t="s">
        <v>333</v>
      </c>
      <c r="T34" s="194" t="s">
        <v>334</v>
      </c>
      <c r="U34" s="163"/>
      <c r="V34" s="163"/>
      <c r="X34" s="6">
        <f>G34*$X$2</f>
        <v>449044.35957251082</v>
      </c>
    </row>
    <row r="35" spans="2:24">
      <c r="B35">
        <v>26</v>
      </c>
      <c r="C35">
        <v>2</v>
      </c>
      <c r="D35" t="s">
        <v>314</v>
      </c>
      <c r="E35">
        <v>1018.6915887850466</v>
      </c>
      <c r="F35">
        <v>2955.8425073613762</v>
      </c>
      <c r="G35">
        <v>3011091.9000223363</v>
      </c>
      <c r="H35">
        <v>1729167.8668064051</v>
      </c>
      <c r="I35">
        <v>1281924.0332159312</v>
      </c>
      <c r="J35">
        <v>456187</v>
      </c>
      <c r="K35">
        <v>721.54364495920061</v>
      </c>
      <c r="L35">
        <v>606692.0990770536</v>
      </c>
      <c r="M35">
        <v>10740.467500000001</v>
      </c>
      <c r="N35">
        <v>0</v>
      </c>
      <c r="O35">
        <v>207582.92299391842</v>
      </c>
      <c r="P35">
        <v>-1480113.1640017102</v>
      </c>
      <c r="Q35" s="198">
        <v>207582.92299391818</v>
      </c>
      <c r="S35" s="194" t="s">
        <v>335</v>
      </c>
      <c r="T35" s="5">
        <v>0</v>
      </c>
      <c r="U35" s="182">
        <f>IF(Q46&gt;300000,300000,0)</f>
        <v>300000</v>
      </c>
      <c r="V35" s="184">
        <f>U35*T35</f>
        <v>0</v>
      </c>
      <c r="X35" s="6">
        <f t="shared" ref="X35:X45" si="2">G35*$X$2</f>
        <v>451663.78500335041</v>
      </c>
    </row>
    <row r="36" spans="2:24">
      <c r="B36">
        <v>27</v>
      </c>
      <c r="C36">
        <v>3</v>
      </c>
      <c r="D36" t="s">
        <v>315</v>
      </c>
      <c r="E36">
        <v>1018.6915887850466</v>
      </c>
      <c r="F36">
        <v>2973.0849219876513</v>
      </c>
      <c r="G36">
        <v>3028656.6027724668</v>
      </c>
      <c r="H36">
        <v>1739254.679362776</v>
      </c>
      <c r="I36">
        <v>1289401.9234096908</v>
      </c>
      <c r="J36">
        <v>456187</v>
      </c>
      <c r="K36">
        <v>721.54364495920061</v>
      </c>
      <c r="L36">
        <v>606692.0990770536</v>
      </c>
      <c r="M36">
        <v>10740.467500000001</v>
      </c>
      <c r="N36">
        <v>0</v>
      </c>
      <c r="O36">
        <v>215060.81318767811</v>
      </c>
      <c r="P36">
        <v>-1265052.3508140321</v>
      </c>
      <c r="Q36" s="198">
        <v>215060.81318767788</v>
      </c>
      <c r="S36" s="194" t="s">
        <v>336</v>
      </c>
      <c r="T36" s="5">
        <v>0.15</v>
      </c>
      <c r="U36" s="182">
        <f>IF((Q46-300000)&gt;2700000,2700000,(Q46-300000))</f>
        <v>1791209.7239985531</v>
      </c>
      <c r="V36" s="184">
        <f>U36*T36</f>
        <v>268681.45859978296</v>
      </c>
      <c r="X36" s="6">
        <f t="shared" si="2"/>
        <v>454298.49041587004</v>
      </c>
    </row>
    <row r="37" spans="2:24">
      <c r="B37">
        <v>28</v>
      </c>
      <c r="C37">
        <v>4</v>
      </c>
      <c r="D37" t="s">
        <v>316</v>
      </c>
      <c r="E37">
        <v>1018.6915887850466</v>
      </c>
      <c r="F37">
        <v>2990.4279173659124</v>
      </c>
      <c r="G37">
        <v>3046323.7662886395</v>
      </c>
      <c r="H37">
        <v>1749400.3316590588</v>
      </c>
      <c r="I37">
        <v>1296923.4346295807</v>
      </c>
      <c r="J37">
        <v>456187</v>
      </c>
      <c r="K37">
        <v>721.54364495920061</v>
      </c>
      <c r="L37">
        <v>606692.0990770536</v>
      </c>
      <c r="M37">
        <v>10740.467500000001</v>
      </c>
      <c r="N37">
        <v>0</v>
      </c>
      <c r="O37">
        <v>222582.32440756797</v>
      </c>
      <c r="P37">
        <v>-1042470.0264064642</v>
      </c>
      <c r="Q37" s="198">
        <v>222582.32440756774</v>
      </c>
      <c r="S37" s="194" t="s">
        <v>337</v>
      </c>
      <c r="T37" s="5">
        <v>0.2</v>
      </c>
      <c r="U37" s="182">
        <f>Q46-300000-U36</f>
        <v>0</v>
      </c>
      <c r="V37" s="184">
        <f>U37*T37</f>
        <v>0</v>
      </c>
      <c r="X37" s="6">
        <f t="shared" si="2"/>
        <v>456948.5649432959</v>
      </c>
    </row>
    <row r="38" spans="2:24">
      <c r="B38">
        <v>29</v>
      </c>
      <c r="C38">
        <v>5</v>
      </c>
      <c r="D38" t="s">
        <v>319</v>
      </c>
      <c r="E38">
        <v>1018.6915887850466</v>
      </c>
      <c r="F38">
        <v>3007.8720802172138</v>
      </c>
      <c r="G38">
        <v>3064093.9882586566</v>
      </c>
      <c r="H38">
        <v>1759605.1669270701</v>
      </c>
      <c r="I38">
        <v>1304488.8213315865</v>
      </c>
      <c r="J38">
        <v>456187</v>
      </c>
      <c r="K38">
        <v>721.54364495920061</v>
      </c>
      <c r="L38">
        <v>606692.0990770536</v>
      </c>
      <c r="M38">
        <v>10740.467500000001</v>
      </c>
      <c r="N38">
        <v>0</v>
      </c>
      <c r="O38">
        <v>230147.71110957372</v>
      </c>
      <c r="P38">
        <v>-812322.31529689045</v>
      </c>
      <c r="Q38" s="198">
        <v>230147.71110957349</v>
      </c>
      <c r="S38" s="199" t="s">
        <v>14</v>
      </c>
      <c r="U38" s="6"/>
      <c r="V38" s="200">
        <f>MAX(SUM(V35:V37),0)</f>
        <v>268681.45859978296</v>
      </c>
      <c r="X38" s="6">
        <f t="shared" si="2"/>
        <v>459614.0982387985</v>
      </c>
    </row>
    <row r="39" spans="2:24">
      <c r="B39">
        <v>30</v>
      </c>
      <c r="C39">
        <v>6</v>
      </c>
      <c r="D39" t="s">
        <v>320</v>
      </c>
      <c r="E39">
        <v>1018.6915887850466</v>
      </c>
      <c r="F39">
        <v>3025.4180006851479</v>
      </c>
      <c r="G39">
        <v>3081967.8698568325</v>
      </c>
      <c r="H39">
        <v>1769869.5304008115</v>
      </c>
      <c r="I39">
        <v>1312098.3394560211</v>
      </c>
      <c r="J39">
        <v>456187</v>
      </c>
      <c r="K39">
        <v>721.54364495920061</v>
      </c>
      <c r="L39">
        <v>606692.0990770536</v>
      </c>
      <c r="M39">
        <v>10740.467500000001</v>
      </c>
      <c r="N39">
        <v>0</v>
      </c>
      <c r="O39">
        <v>237757.22923400835</v>
      </c>
      <c r="P39">
        <v>-574565.0860628821</v>
      </c>
      <c r="Q39" s="198">
        <v>237757.22923400812</v>
      </c>
      <c r="X39" s="6">
        <f t="shared" si="2"/>
        <v>462295.18047852488</v>
      </c>
    </row>
    <row r="40" spans="2:24">
      <c r="B40">
        <v>31</v>
      </c>
      <c r="C40">
        <v>7</v>
      </c>
      <c r="D40" t="s">
        <v>323</v>
      </c>
      <c r="E40">
        <v>1018.6915887850466</v>
      </c>
      <c r="F40">
        <v>3043.0662723558107</v>
      </c>
      <c r="G40">
        <v>3099946.01576433</v>
      </c>
      <c r="H40">
        <v>1780193.7693281493</v>
      </c>
      <c r="I40">
        <v>1319752.2464361808</v>
      </c>
      <c r="J40">
        <v>456187</v>
      </c>
      <c r="K40">
        <v>721.54364495920061</v>
      </c>
      <c r="L40">
        <v>606692.0990770536</v>
      </c>
      <c r="M40">
        <v>10740.467500000001</v>
      </c>
      <c r="N40">
        <v>0</v>
      </c>
      <c r="O40">
        <v>245411.13621416804</v>
      </c>
      <c r="P40">
        <v>-329153.94984871405</v>
      </c>
      <c r="Q40" s="198">
        <v>245411.13621416781</v>
      </c>
      <c r="S40" s="180" t="s">
        <v>338</v>
      </c>
      <c r="T40" s="202" t="s">
        <v>330</v>
      </c>
      <c r="X40" s="6">
        <f t="shared" si="2"/>
        <v>464991.90236464952</v>
      </c>
    </row>
    <row r="41" spans="2:24">
      <c r="B41">
        <v>32</v>
      </c>
      <c r="C41">
        <v>8</v>
      </c>
      <c r="D41" t="s">
        <v>324</v>
      </c>
      <c r="E41">
        <v>1018.6915887850466</v>
      </c>
      <c r="F41">
        <v>3060.8174922778867</v>
      </c>
      <c r="G41">
        <v>3118029.0341896224</v>
      </c>
      <c r="H41">
        <v>1790578.2329825638</v>
      </c>
      <c r="I41">
        <v>1327450.8012070586</v>
      </c>
      <c r="J41">
        <v>456187</v>
      </c>
      <c r="K41">
        <v>721.54364495920061</v>
      </c>
      <c r="L41">
        <v>606692.0990770536</v>
      </c>
      <c r="M41">
        <v>10740.467500000001</v>
      </c>
      <c r="N41">
        <v>0</v>
      </c>
      <c r="O41">
        <v>253109.69098504586</v>
      </c>
      <c r="P41">
        <v>-76044.25886366819</v>
      </c>
      <c r="Q41" s="198">
        <v>253109.69098504563</v>
      </c>
      <c r="S41" s="6">
        <f>Q46-V38</f>
        <v>1822528.2653987701</v>
      </c>
      <c r="T41" s="6">
        <f>S41*0.2</f>
        <v>364505.65307975403</v>
      </c>
      <c r="X41" s="6">
        <f t="shared" si="2"/>
        <v>467704.35512844333</v>
      </c>
    </row>
    <row r="42" spans="2:24">
      <c r="B42">
        <v>33</v>
      </c>
      <c r="C42">
        <v>9</v>
      </c>
      <c r="D42" t="s">
        <v>325</v>
      </c>
      <c r="E42">
        <v>1018.6915887850466</v>
      </c>
      <c r="F42">
        <v>3078.6722609828407</v>
      </c>
      <c r="G42">
        <v>3136217.5368890618</v>
      </c>
      <c r="H42">
        <v>1801023.2726749617</v>
      </c>
      <c r="I42">
        <v>1335194.2642141001</v>
      </c>
      <c r="J42">
        <v>456187</v>
      </c>
      <c r="K42">
        <v>721.54364495920061</v>
      </c>
      <c r="L42">
        <v>606692.0990770536</v>
      </c>
      <c r="M42">
        <v>10740.467500000001</v>
      </c>
      <c r="N42">
        <v>0</v>
      </c>
      <c r="O42">
        <v>260853.15399208735</v>
      </c>
      <c r="P42">
        <v>184808.89512841916</v>
      </c>
      <c r="Q42" s="198">
        <v>260853.15399208711</v>
      </c>
      <c r="X42" s="6">
        <f t="shared" si="2"/>
        <v>470432.63053335925</v>
      </c>
    </row>
    <row r="43" spans="2:24">
      <c r="B43">
        <v>34</v>
      </c>
      <c r="C43">
        <v>10</v>
      </c>
      <c r="D43" t="s">
        <v>326</v>
      </c>
      <c r="E43">
        <v>1018.6915887850466</v>
      </c>
      <c r="F43">
        <v>3096.6311825052408</v>
      </c>
      <c r="G43">
        <v>3154512.1391875814</v>
      </c>
      <c r="H43">
        <v>1811529.2417655659</v>
      </c>
      <c r="I43">
        <v>1342982.8974220154</v>
      </c>
      <c r="J43">
        <v>456187</v>
      </c>
      <c r="K43">
        <v>721.54364495920061</v>
      </c>
      <c r="L43">
        <v>606692.0990770536</v>
      </c>
      <c r="M43">
        <v>10740.467500000001</v>
      </c>
      <c r="N43">
        <v>0</v>
      </c>
      <c r="O43">
        <v>268641.7872000027</v>
      </c>
      <c r="P43">
        <v>453450.68232842186</v>
      </c>
      <c r="Q43" s="198">
        <v>268641.78720000247</v>
      </c>
      <c r="X43" s="6">
        <f t="shared" si="2"/>
        <v>473176.82087813719</v>
      </c>
    </row>
    <row r="44" spans="2:24">
      <c r="B44">
        <v>35</v>
      </c>
      <c r="C44">
        <v>11</v>
      </c>
      <c r="D44" t="s">
        <v>327</v>
      </c>
      <c r="E44">
        <v>1018.6915887850466</v>
      </c>
      <c r="F44">
        <v>3114.6948644031881</v>
      </c>
      <c r="G44">
        <v>3172913.4599995092</v>
      </c>
      <c r="H44">
        <v>1822096.4956758651</v>
      </c>
      <c r="I44">
        <v>1350816.9643236441</v>
      </c>
      <c r="J44">
        <v>456187</v>
      </c>
      <c r="K44">
        <v>721.54364495920061</v>
      </c>
      <c r="L44">
        <v>606692.0990770536</v>
      </c>
      <c r="M44">
        <v>10740.467500000001</v>
      </c>
      <c r="N44">
        <v>0</v>
      </c>
      <c r="O44">
        <v>276475.85410163132</v>
      </c>
      <c r="P44">
        <v>729926.53643005318</v>
      </c>
      <c r="Q44" s="198">
        <v>276475.85410163109</v>
      </c>
      <c r="X44" s="6">
        <f t="shared" si="2"/>
        <v>475937.01899992634</v>
      </c>
    </row>
    <row r="45" spans="2:24">
      <c r="B45">
        <v>36</v>
      </c>
      <c r="C45">
        <v>12</v>
      </c>
      <c r="D45" t="s">
        <v>328</v>
      </c>
      <c r="E45">
        <v>1018.6915887850466</v>
      </c>
      <c r="F45">
        <v>3132.8639177788737</v>
      </c>
      <c r="G45">
        <v>3191422.1218495066</v>
      </c>
      <c r="H45">
        <v>1832725.3919006411</v>
      </c>
      <c r="I45">
        <v>1358696.7299488655</v>
      </c>
      <c r="J45">
        <v>456187</v>
      </c>
      <c r="K45">
        <v>721.54364495920061</v>
      </c>
      <c r="L45">
        <v>606692.0990770536</v>
      </c>
      <c r="M45">
        <v>10740.467500000001</v>
      </c>
      <c r="N45">
        <v>0</v>
      </c>
      <c r="O45">
        <v>284355.61972685275</v>
      </c>
      <c r="P45">
        <v>1014282.1561569059</v>
      </c>
      <c r="Q45" s="198">
        <v>284355.61972685251</v>
      </c>
      <c r="X45" s="6">
        <f t="shared" si="2"/>
        <v>478713.31827742595</v>
      </c>
    </row>
    <row r="46" spans="2:24">
      <c r="F46">
        <v>36418.091508089863</v>
      </c>
      <c r="G46">
        <v>37098803.49889528</v>
      </c>
      <c r="H46">
        <v>21304583.532232568</v>
      </c>
      <c r="I46">
        <v>15794219.966662709</v>
      </c>
      <c r="J46">
        <v>5474244</v>
      </c>
      <c r="K46">
        <v>8658.5237395104068</v>
      </c>
      <c r="L46">
        <v>7280305.1889246413</v>
      </c>
      <c r="M46">
        <v>128885.61</v>
      </c>
      <c r="P46">
        <v>2902126.643998553</v>
      </c>
      <c r="Q46" s="6">
        <v>2091209.7239985531</v>
      </c>
      <c r="X46" s="6">
        <f>SUM(X34:X45)</f>
        <v>5564820.524834292</v>
      </c>
    </row>
    <row r="47" spans="2:24">
      <c r="Q47">
        <v>810916.92</v>
      </c>
      <c r="X47" s="6">
        <f>AVERAGE(X34:X45)</f>
        <v>463735.043736191</v>
      </c>
    </row>
    <row r="48" spans="2:24">
      <c r="D48" t="s">
        <v>241</v>
      </c>
      <c r="E48" t="s">
        <v>26</v>
      </c>
      <c r="F48" t="s">
        <v>31</v>
      </c>
      <c r="G48" t="s">
        <v>298</v>
      </c>
      <c r="H48" t="s">
        <v>299</v>
      </c>
      <c r="I48" t="s">
        <v>300</v>
      </c>
      <c r="J48" t="s">
        <v>301</v>
      </c>
      <c r="K48" t="s">
        <v>273</v>
      </c>
      <c r="L48" t="s">
        <v>302</v>
      </c>
      <c r="M48" t="s">
        <v>58</v>
      </c>
      <c r="N48" t="s">
        <v>303</v>
      </c>
      <c r="O48" t="s">
        <v>304</v>
      </c>
      <c r="P48" t="s">
        <v>305</v>
      </c>
      <c r="Q48" t="s">
        <v>306</v>
      </c>
    </row>
    <row r="49" spans="2:24">
      <c r="B49">
        <v>37</v>
      </c>
      <c r="C49">
        <v>1</v>
      </c>
      <c r="D49" t="s">
        <v>311</v>
      </c>
      <c r="E49">
        <v>1018.6915887850466</v>
      </c>
      <c r="F49">
        <v>3151.1389572992503</v>
      </c>
      <c r="G49">
        <v>3210038.7508936287</v>
      </c>
      <c r="H49">
        <v>1843416.2900200614</v>
      </c>
      <c r="I49">
        <v>1366622.4608735673</v>
      </c>
      <c r="J49">
        <v>469872.61</v>
      </c>
      <c r="K49">
        <v>743.18995430797668</v>
      </c>
      <c r="L49">
        <v>606692.0990770536</v>
      </c>
      <c r="M49">
        <v>10774.681525</v>
      </c>
      <c r="N49">
        <v>0</v>
      </c>
      <c r="O49">
        <v>278539.8803172058</v>
      </c>
      <c r="P49">
        <v>400141.51039457484</v>
      </c>
      <c r="Q49" s="198">
        <v>278539.8803172058</v>
      </c>
      <c r="S49" s="194" t="s">
        <v>333</v>
      </c>
      <c r="T49" s="194" t="s">
        <v>334</v>
      </c>
      <c r="U49" s="163"/>
      <c r="V49" s="163"/>
      <c r="X49" s="6">
        <f>G49*$X$2</f>
        <v>481505.81263404427</v>
      </c>
    </row>
    <row r="50" spans="2:24">
      <c r="B50">
        <v>38</v>
      </c>
      <c r="C50">
        <v>2</v>
      </c>
      <c r="D50" t="s">
        <v>314</v>
      </c>
      <c r="E50">
        <v>1018.6915887850466</v>
      </c>
      <c r="F50">
        <v>3169.5206012168296</v>
      </c>
      <c r="G50">
        <v>3228763.9769405085</v>
      </c>
      <c r="H50">
        <v>1854169.5517118452</v>
      </c>
      <c r="I50">
        <v>1374594.4252286633</v>
      </c>
      <c r="J50">
        <v>469872.61</v>
      </c>
      <c r="K50">
        <v>743.18995430797668</v>
      </c>
      <c r="L50">
        <v>606692.0990770536</v>
      </c>
      <c r="M50">
        <v>10774.681525</v>
      </c>
      <c r="N50">
        <v>0</v>
      </c>
      <c r="O50">
        <v>286511.84467230178</v>
      </c>
      <c r="P50">
        <v>686653.35506687663</v>
      </c>
      <c r="Q50" s="198">
        <v>286511.84467230178</v>
      </c>
      <c r="S50" s="194" t="s">
        <v>335</v>
      </c>
      <c r="T50" s="5">
        <v>0</v>
      </c>
      <c r="U50" s="182">
        <f>IF(Q61&gt;300000,300000,0)</f>
        <v>300000</v>
      </c>
      <c r="V50" s="184">
        <f>U50*T50</f>
        <v>0</v>
      </c>
      <c r="X50" s="6">
        <f t="shared" ref="X50:X60" si="3">G50*$X$2</f>
        <v>484314.59654107626</v>
      </c>
    </row>
    <row r="51" spans="2:24">
      <c r="B51">
        <v>39</v>
      </c>
      <c r="C51">
        <v>3</v>
      </c>
      <c r="D51" t="s">
        <v>315</v>
      </c>
      <c r="E51">
        <v>1018.6915887850466</v>
      </c>
      <c r="F51">
        <v>3188.0094713905942</v>
      </c>
      <c r="G51">
        <v>3247598.4334726608</v>
      </c>
      <c r="H51">
        <v>1864985.5407634976</v>
      </c>
      <c r="I51">
        <v>1382612.8927091633</v>
      </c>
      <c r="J51">
        <v>469872.61</v>
      </c>
      <c r="K51">
        <v>743.18995430797668</v>
      </c>
      <c r="L51">
        <v>606692.0990770536</v>
      </c>
      <c r="M51">
        <v>10774.681525</v>
      </c>
      <c r="N51">
        <v>0</v>
      </c>
      <c r="O51">
        <v>294530.31215280178</v>
      </c>
      <c r="P51">
        <v>981183.66721967841</v>
      </c>
      <c r="Q51" s="198">
        <v>294530.31215280178</v>
      </c>
      <c r="S51" s="194" t="s">
        <v>336</v>
      </c>
      <c r="T51" s="5">
        <v>0.15</v>
      </c>
      <c r="U51" s="182">
        <f>IF((Q61-300000)&gt;2700000,2700000,(Q61-300000))</f>
        <v>2700000</v>
      </c>
      <c r="V51" s="184">
        <f>U51*T51</f>
        <v>405000</v>
      </c>
      <c r="X51" s="6">
        <f t="shared" si="3"/>
        <v>487139.76502089913</v>
      </c>
    </row>
    <row r="52" spans="2:24">
      <c r="B52">
        <v>40</v>
      </c>
      <c r="C52">
        <v>4</v>
      </c>
      <c r="D52" t="s">
        <v>316</v>
      </c>
      <c r="E52">
        <v>1018.6915887850466</v>
      </c>
      <c r="F52">
        <v>3206.6061933070396</v>
      </c>
      <c r="G52">
        <v>3266542.7576679187</v>
      </c>
      <c r="H52">
        <v>1875864.6230846182</v>
      </c>
      <c r="I52">
        <v>1390678.1345833004</v>
      </c>
      <c r="J52">
        <v>469872.61</v>
      </c>
      <c r="K52">
        <v>743.18995430797668</v>
      </c>
      <c r="L52">
        <v>606692.0990770536</v>
      </c>
      <c r="M52">
        <v>10774.681525</v>
      </c>
      <c r="N52">
        <v>0</v>
      </c>
      <c r="O52">
        <v>302595.55402693897</v>
      </c>
      <c r="P52">
        <v>1283779.2212466174</v>
      </c>
      <c r="Q52" s="198">
        <v>302595.55402693897</v>
      </c>
      <c r="S52" s="194" t="s">
        <v>337</v>
      </c>
      <c r="T52" s="5">
        <v>0.2</v>
      </c>
      <c r="U52" s="182">
        <f>Q61-300000-U51</f>
        <v>68077.518437596038</v>
      </c>
      <c r="V52" s="184">
        <f>U52*T52</f>
        <v>13615.503687519209</v>
      </c>
      <c r="X52" s="6">
        <f t="shared" si="3"/>
        <v>489981.41365018778</v>
      </c>
    </row>
    <row r="53" spans="2:24">
      <c r="B53">
        <v>41</v>
      </c>
      <c r="C53">
        <v>5</v>
      </c>
      <c r="D53" t="s">
        <v>319</v>
      </c>
      <c r="E53">
        <v>1018.6915887850466</v>
      </c>
      <c r="F53">
        <v>3225.311396101331</v>
      </c>
      <c r="G53">
        <v>3285597.5904209819</v>
      </c>
      <c r="H53">
        <v>1886807.1667192786</v>
      </c>
      <c r="I53">
        <v>1398790.4237017033</v>
      </c>
      <c r="J53">
        <v>469872.61</v>
      </c>
      <c r="K53">
        <v>743.18995430797668</v>
      </c>
      <c r="L53">
        <v>606692.0990770536</v>
      </c>
      <c r="M53">
        <v>10774.681525</v>
      </c>
      <c r="N53">
        <v>0</v>
      </c>
      <c r="O53">
        <v>310707.84314534185</v>
      </c>
      <c r="P53">
        <v>1594487.0643919592</v>
      </c>
      <c r="Q53" s="198">
        <v>310707.84314534185</v>
      </c>
      <c r="S53" s="199" t="s">
        <v>14</v>
      </c>
      <c r="U53" s="6"/>
      <c r="V53" s="200">
        <f>MAX(SUM(V50:V52),0)</f>
        <v>418615.50368751923</v>
      </c>
      <c r="X53" s="6">
        <f t="shared" si="3"/>
        <v>492839.63856314728</v>
      </c>
    </row>
    <row r="54" spans="2:24">
      <c r="B54">
        <v>42</v>
      </c>
      <c r="C54">
        <v>6</v>
      </c>
      <c r="D54" t="s">
        <v>320</v>
      </c>
      <c r="E54">
        <v>1018.6915887850466</v>
      </c>
      <c r="F54">
        <v>3244.1257125785883</v>
      </c>
      <c r="G54">
        <v>3304763.5763651035</v>
      </c>
      <c r="H54">
        <v>1897813.541858474</v>
      </c>
      <c r="I54">
        <v>1406950.0345066295</v>
      </c>
      <c r="J54">
        <v>469872.61</v>
      </c>
      <c r="K54">
        <v>743.18995430797668</v>
      </c>
      <c r="L54">
        <v>606692.0990770536</v>
      </c>
      <c r="M54">
        <v>10774.681525</v>
      </c>
      <c r="N54">
        <v>0</v>
      </c>
      <c r="O54">
        <v>318867.45395026798</v>
      </c>
      <c r="P54">
        <v>1913354.5183422272</v>
      </c>
      <c r="Q54" s="198">
        <v>318867.45395026798</v>
      </c>
      <c r="X54" s="6">
        <f t="shared" si="3"/>
        <v>495714.53645476548</v>
      </c>
    </row>
    <row r="55" spans="2:24">
      <c r="B55">
        <v>43</v>
      </c>
      <c r="C55">
        <v>7</v>
      </c>
      <c r="D55" t="s">
        <v>323</v>
      </c>
      <c r="E55">
        <v>1018.6915887850466</v>
      </c>
      <c r="F55">
        <v>3263.0497792352971</v>
      </c>
      <c r="G55">
        <v>3324041.3638939005</v>
      </c>
      <c r="H55">
        <v>1908884.1208526487</v>
      </c>
      <c r="I55">
        <v>1415157.2430412518</v>
      </c>
      <c r="J55">
        <v>469872.61</v>
      </c>
      <c r="K55">
        <v>743.18995430797668</v>
      </c>
      <c r="L55">
        <v>606692.0990770536</v>
      </c>
      <c r="M55">
        <v>10774.681525</v>
      </c>
      <c r="N55">
        <v>0</v>
      </c>
      <c r="O55">
        <v>327074.66248489032</v>
      </c>
      <c r="P55">
        <v>2240429.1808271175</v>
      </c>
      <c r="Q55" s="198">
        <v>327074.66248489032</v>
      </c>
      <c r="S55" s="180" t="s">
        <v>338</v>
      </c>
      <c r="T55" s="202" t="s">
        <v>330</v>
      </c>
      <c r="X55" s="6">
        <f t="shared" si="3"/>
        <v>498606.20458408503</v>
      </c>
    </row>
    <row r="56" spans="2:24">
      <c r="B56">
        <v>44</v>
      </c>
      <c r="C56">
        <v>8</v>
      </c>
      <c r="D56" t="s">
        <v>324</v>
      </c>
      <c r="E56">
        <v>1018.6915887850466</v>
      </c>
      <c r="F56">
        <v>3282.0842362808362</v>
      </c>
      <c r="G56">
        <v>3343431.6051832815</v>
      </c>
      <c r="H56">
        <v>1920019.2782242892</v>
      </c>
      <c r="I56">
        <v>1423412.3269589923</v>
      </c>
      <c r="J56">
        <v>469872.61</v>
      </c>
      <c r="K56">
        <v>743.18995430797668</v>
      </c>
      <c r="L56">
        <v>606692.0990770536</v>
      </c>
      <c r="M56">
        <v>10774.681525</v>
      </c>
      <c r="N56">
        <v>0</v>
      </c>
      <c r="O56">
        <v>335329.74640263082</v>
      </c>
      <c r="P56">
        <v>2575758.9272297481</v>
      </c>
      <c r="Q56" s="198">
        <v>335329.74640263082</v>
      </c>
      <c r="S56" s="6">
        <f>Q61-V53</f>
        <v>2649462.0147500769</v>
      </c>
      <c r="T56" s="6">
        <f>S56*0.2</f>
        <v>529892.40295001538</v>
      </c>
      <c r="X56" s="6">
        <f t="shared" si="3"/>
        <v>501514.74077749217</v>
      </c>
    </row>
    <row r="57" spans="2:24">
      <c r="B57">
        <v>45</v>
      </c>
      <c r="C57">
        <v>9</v>
      </c>
      <c r="D57" t="s">
        <v>325</v>
      </c>
      <c r="E57">
        <v>1018.6915887850466</v>
      </c>
      <c r="F57">
        <v>3301.2297276591416</v>
      </c>
      <c r="G57">
        <v>3362934.9562135176</v>
      </c>
      <c r="H57">
        <v>1931219.3906805979</v>
      </c>
      <c r="I57">
        <v>1431715.5655329197</v>
      </c>
      <c r="J57">
        <v>469872.61</v>
      </c>
      <c r="K57">
        <v>743.18995430797668</v>
      </c>
      <c r="L57">
        <v>606692.0990770536</v>
      </c>
      <c r="M57">
        <v>10774.681525</v>
      </c>
      <c r="N57">
        <v>0</v>
      </c>
      <c r="O57">
        <v>343632.98497655825</v>
      </c>
      <c r="P57">
        <v>2919391.9122063061</v>
      </c>
      <c r="Q57" s="198">
        <v>343632.98497655825</v>
      </c>
      <c r="X57" s="6">
        <f t="shared" si="3"/>
        <v>504440.24343202764</v>
      </c>
    </row>
    <row r="58" spans="2:24">
      <c r="B58">
        <v>46</v>
      </c>
      <c r="C58">
        <v>10</v>
      </c>
      <c r="D58" t="s">
        <v>326</v>
      </c>
      <c r="E58">
        <v>1018.6915887850466</v>
      </c>
      <c r="F58">
        <v>3320.4869010704865</v>
      </c>
      <c r="G58">
        <v>3382552.0767914299</v>
      </c>
      <c r="H58">
        <v>1942484.8371262345</v>
      </c>
      <c r="I58">
        <v>1440067.2396651953</v>
      </c>
      <c r="J58">
        <v>469872.61</v>
      </c>
      <c r="K58">
        <v>743.18995430797668</v>
      </c>
      <c r="L58">
        <v>606692.0990770536</v>
      </c>
      <c r="M58">
        <v>10774.681525</v>
      </c>
      <c r="N58">
        <v>0</v>
      </c>
      <c r="O58">
        <v>351984.65910883388</v>
      </c>
      <c r="P58">
        <v>3271376.57131514</v>
      </c>
      <c r="Q58" s="198">
        <v>351984.65910883388</v>
      </c>
      <c r="X58" s="6">
        <f t="shared" si="3"/>
        <v>507382.81151871447</v>
      </c>
    </row>
    <row r="59" spans="2:24">
      <c r="B59">
        <v>47</v>
      </c>
      <c r="C59">
        <v>11</v>
      </c>
      <c r="D59" t="s">
        <v>327</v>
      </c>
      <c r="E59">
        <v>1018.6915887850466</v>
      </c>
      <c r="F59">
        <v>3339.8564079933972</v>
      </c>
      <c r="G59">
        <v>3402283.6305727125</v>
      </c>
      <c r="H59">
        <v>1953815.9986761373</v>
      </c>
      <c r="I59">
        <v>1448467.6318965752</v>
      </c>
      <c r="J59">
        <v>469872.61</v>
      </c>
      <c r="K59">
        <v>743.18995430797668</v>
      </c>
      <c r="L59">
        <v>606692.0990770536</v>
      </c>
      <c r="M59">
        <v>10774.681525</v>
      </c>
      <c r="N59">
        <v>0</v>
      </c>
      <c r="O59">
        <v>360385.05134021374</v>
      </c>
      <c r="P59">
        <v>3631761.6226553535</v>
      </c>
      <c r="Q59" s="198">
        <v>360385.05134021374</v>
      </c>
      <c r="X59" s="6">
        <f t="shared" si="3"/>
        <v>510342.54458590684</v>
      </c>
    </row>
    <row r="60" spans="2:24">
      <c r="B60">
        <v>48</v>
      </c>
      <c r="C60">
        <v>12</v>
      </c>
      <c r="D60" t="s">
        <v>328</v>
      </c>
      <c r="E60">
        <v>1018.6915887850466</v>
      </c>
      <c r="F60">
        <v>3359.3389037066922</v>
      </c>
      <c r="G60">
        <v>3422130.2850843873</v>
      </c>
      <c r="H60">
        <v>1965213.258668415</v>
      </c>
      <c r="I60">
        <v>1456917.0264159723</v>
      </c>
      <c r="J60">
        <v>469872.61</v>
      </c>
      <c r="K60">
        <v>743.18995430797668</v>
      </c>
      <c r="L60">
        <v>606692.0990770536</v>
      </c>
      <c r="M60">
        <v>10774.681525</v>
      </c>
      <c r="N60">
        <v>0</v>
      </c>
      <c r="O60">
        <v>368834.4458596108</v>
      </c>
      <c r="P60">
        <v>4000596.0685149645</v>
      </c>
      <c r="Q60" s="198">
        <v>368834.4458596108</v>
      </c>
      <c r="X60" s="6">
        <f t="shared" si="3"/>
        <v>513319.54276265809</v>
      </c>
    </row>
    <row r="61" spans="2:24">
      <c r="F61">
        <v>39050.75828783949</v>
      </c>
      <c r="G61">
        <v>39780679.003500037</v>
      </c>
      <c r="H61">
        <v>22844693.598386094</v>
      </c>
      <c r="I61">
        <v>16935985.405113932</v>
      </c>
      <c r="J61">
        <v>5638471.3200000003</v>
      </c>
      <c r="K61">
        <v>8918.2794516957183</v>
      </c>
      <c r="L61">
        <v>7280305.1889246413</v>
      </c>
      <c r="M61">
        <v>129296.17829999997</v>
      </c>
      <c r="P61">
        <v>3878994.438437596</v>
      </c>
      <c r="Q61" s="6">
        <v>3068077.518437596</v>
      </c>
      <c r="X61" s="6">
        <f>SUM(X49:X60)</f>
        <v>5967101.8505250048</v>
      </c>
    </row>
    <row r="62" spans="2:24">
      <c r="Q62">
        <v>810916.92</v>
      </c>
      <c r="X62" s="6">
        <f>AVERAGE(X49:X60)</f>
        <v>497258.48754375038</v>
      </c>
    </row>
    <row r="63" spans="2:24">
      <c r="D63" t="s">
        <v>241</v>
      </c>
      <c r="E63" t="s">
        <v>26</v>
      </c>
      <c r="F63" t="s">
        <v>31</v>
      </c>
      <c r="G63" t="s">
        <v>298</v>
      </c>
      <c r="H63" t="s">
        <v>299</v>
      </c>
      <c r="I63" t="s">
        <v>300</v>
      </c>
      <c r="J63" t="s">
        <v>301</v>
      </c>
      <c r="K63" t="s">
        <v>273</v>
      </c>
      <c r="L63" t="s">
        <v>302</v>
      </c>
      <c r="M63" t="s">
        <v>58</v>
      </c>
      <c r="N63" t="s">
        <v>303</v>
      </c>
      <c r="O63" t="s">
        <v>304</v>
      </c>
      <c r="P63" t="s">
        <v>305</v>
      </c>
      <c r="Q63" t="s">
        <v>306</v>
      </c>
    </row>
    <row r="64" spans="2:24">
      <c r="B64">
        <v>49</v>
      </c>
      <c r="C64">
        <v>1</v>
      </c>
      <c r="D64" t="s">
        <v>311</v>
      </c>
      <c r="E64">
        <v>1018.6915887850466</v>
      </c>
      <c r="F64">
        <v>3378.9350473116488</v>
      </c>
      <c r="G64">
        <v>3442092.71174738</v>
      </c>
      <c r="H64">
        <v>1976677.0026773144</v>
      </c>
      <c r="I64">
        <v>1465415.7090700655</v>
      </c>
      <c r="J64">
        <v>483968.78830000001</v>
      </c>
      <c r="K64">
        <v>765.48565293721595</v>
      </c>
      <c r="L64">
        <v>606692.0990770536</v>
      </c>
      <c r="M64">
        <v>10809.92197075</v>
      </c>
      <c r="N64">
        <v>0</v>
      </c>
      <c r="O64">
        <v>363179.41406932473</v>
      </c>
      <c r="P64">
        <v>3123337.4847467546</v>
      </c>
      <c r="Q64" s="198">
        <v>363179.41406932473</v>
      </c>
      <c r="S64" s="194" t="s">
        <v>333</v>
      </c>
      <c r="T64" s="194" t="s">
        <v>334</v>
      </c>
      <c r="U64" s="163"/>
      <c r="V64" s="163"/>
      <c r="X64" s="6">
        <f>G64*$X$2</f>
        <v>516313.90676210698</v>
      </c>
    </row>
    <row r="65" spans="2:24">
      <c r="B65">
        <v>50</v>
      </c>
      <c r="C65">
        <v>2</v>
      </c>
      <c r="D65" t="s">
        <v>314</v>
      </c>
      <c r="E65">
        <v>1018.6915887850466</v>
      </c>
      <c r="F65">
        <v>3398.6455017542999</v>
      </c>
      <c r="G65">
        <v>3462171.5858992399</v>
      </c>
      <c r="H65">
        <v>1988207.6185262655</v>
      </c>
      <c r="I65">
        <v>1473963.9673729744</v>
      </c>
      <c r="J65">
        <v>483968.78830000001</v>
      </c>
      <c r="K65">
        <v>765.48565293721595</v>
      </c>
      <c r="L65">
        <v>606692.0990770536</v>
      </c>
      <c r="M65">
        <v>10809.92197075</v>
      </c>
      <c r="N65">
        <v>0</v>
      </c>
      <c r="O65">
        <v>371727.67237223359</v>
      </c>
      <c r="P65">
        <v>3495065.1571189882</v>
      </c>
      <c r="Q65" s="198">
        <v>371727.67237223359</v>
      </c>
      <c r="S65" s="194" t="s">
        <v>335</v>
      </c>
      <c r="T65" s="5">
        <v>0</v>
      </c>
      <c r="U65" s="182">
        <f>IF(Q76&gt;300000,300000,0)</f>
        <v>300000</v>
      </c>
      <c r="V65" s="184">
        <f>U65*T65</f>
        <v>0</v>
      </c>
      <c r="X65" s="6">
        <f t="shared" ref="X65:X75" si="4">G65*$X$2</f>
        <v>519325.73788488598</v>
      </c>
    </row>
    <row r="66" spans="2:24">
      <c r="B66">
        <v>51</v>
      </c>
      <c r="C66">
        <v>3</v>
      </c>
      <c r="D66" t="s">
        <v>315</v>
      </c>
      <c r="E66">
        <v>1018.6915887850466</v>
      </c>
      <c r="F66">
        <v>3418.4709338478665</v>
      </c>
      <c r="G66">
        <v>3482367.5868169852</v>
      </c>
      <c r="H66">
        <v>1999805.4963010019</v>
      </c>
      <c r="I66">
        <v>1482562.0905159833</v>
      </c>
      <c r="J66">
        <v>483968.78830000001</v>
      </c>
      <c r="K66">
        <v>765.48565293721595</v>
      </c>
      <c r="L66">
        <v>606692.0990770536</v>
      </c>
      <c r="M66">
        <v>10809.92197075</v>
      </c>
      <c r="N66">
        <v>0</v>
      </c>
      <c r="O66">
        <v>380325.7955152425</v>
      </c>
      <c r="P66">
        <v>3875390.9526342307</v>
      </c>
      <c r="Q66" s="198">
        <v>380325.7955152425</v>
      </c>
      <c r="S66" s="194" t="s">
        <v>336</v>
      </c>
      <c r="T66" s="5">
        <v>0.15</v>
      </c>
      <c r="U66" s="182">
        <f>IF((Q76-300000)&gt;2700000,2700000,(Q76-300000))</f>
        <v>2700000</v>
      </c>
      <c r="V66" s="184">
        <f>U66*T66</f>
        <v>405000</v>
      </c>
      <c r="X66" s="6">
        <f t="shared" si="4"/>
        <v>522355.13802254776</v>
      </c>
    </row>
    <row r="67" spans="2:24">
      <c r="B67">
        <v>52</v>
      </c>
      <c r="C67">
        <v>4</v>
      </c>
      <c r="D67" t="s">
        <v>316</v>
      </c>
      <c r="E67">
        <v>1018.6915887850466</v>
      </c>
      <c r="F67">
        <v>3438.412014295312</v>
      </c>
      <c r="G67">
        <v>3502681.3977400837</v>
      </c>
      <c r="H67">
        <v>2011471.0283627575</v>
      </c>
      <c r="I67">
        <v>1491210.3693773262</v>
      </c>
      <c r="J67">
        <v>483968.78830000001</v>
      </c>
      <c r="K67">
        <v>765.48565293721595</v>
      </c>
      <c r="L67">
        <v>606692.0990770536</v>
      </c>
      <c r="M67">
        <v>10809.92197075</v>
      </c>
      <c r="N67">
        <v>0</v>
      </c>
      <c r="O67">
        <v>388974.07437658543</v>
      </c>
      <c r="P67">
        <v>4264365.0270108161</v>
      </c>
      <c r="Q67" s="198">
        <v>388974.07437658543</v>
      </c>
      <c r="S67" s="194" t="s">
        <v>337</v>
      </c>
      <c r="T67" s="5">
        <v>0.2</v>
      </c>
      <c r="U67" s="182">
        <f>Q76-300000-U66</f>
        <v>1122536.6994207622</v>
      </c>
      <c r="V67" s="184">
        <f>U67*T67</f>
        <v>224507.33988415246</v>
      </c>
      <c r="X67" s="6">
        <f t="shared" si="4"/>
        <v>525402.20966101252</v>
      </c>
    </row>
    <row r="68" spans="2:24">
      <c r="B68">
        <v>53</v>
      </c>
      <c r="C68">
        <v>5</v>
      </c>
      <c r="D68" t="s">
        <v>319</v>
      </c>
      <c r="E68">
        <v>1018.6915887850466</v>
      </c>
      <c r="F68">
        <v>3458.469417712035</v>
      </c>
      <c r="G68">
        <v>3523113.7058935682</v>
      </c>
      <c r="H68">
        <v>2023204.6093615405</v>
      </c>
      <c r="I68">
        <v>1499909.0965320277</v>
      </c>
      <c r="J68">
        <v>483968.78830000001</v>
      </c>
      <c r="K68">
        <v>765.48565293721595</v>
      </c>
      <c r="L68">
        <v>606692.0990770536</v>
      </c>
      <c r="M68">
        <v>10809.92197075</v>
      </c>
      <c r="N68">
        <v>0</v>
      </c>
      <c r="O68">
        <v>397672.80153128691</v>
      </c>
      <c r="P68">
        <v>4662037.8285421031</v>
      </c>
      <c r="Q68" s="198">
        <v>397672.80153128691</v>
      </c>
      <c r="S68" s="199" t="s">
        <v>14</v>
      </c>
      <c r="U68" s="6"/>
      <c r="V68" s="200">
        <f>MAX(SUM(V65:V67),0)</f>
        <v>629507.3398841524</v>
      </c>
      <c r="X68" s="6">
        <f t="shared" si="4"/>
        <v>528467.05588403519</v>
      </c>
    </row>
    <row r="69" spans="2:24">
      <c r="B69">
        <v>54</v>
      </c>
      <c r="C69">
        <v>6</v>
      </c>
      <c r="D69" t="s">
        <v>320</v>
      </c>
      <c r="E69">
        <v>1018.6915887850466</v>
      </c>
      <c r="F69">
        <v>3478.6438226486894</v>
      </c>
      <c r="G69">
        <v>3543665.2025112812</v>
      </c>
      <c r="H69">
        <v>2035006.6362494833</v>
      </c>
      <c r="I69">
        <v>1508658.5662617979</v>
      </c>
      <c r="J69">
        <v>483968.78830000001</v>
      </c>
      <c r="K69">
        <v>765.48565293721595</v>
      </c>
      <c r="L69">
        <v>606692.0990770536</v>
      </c>
      <c r="M69">
        <v>10809.92197075</v>
      </c>
      <c r="N69">
        <v>0</v>
      </c>
      <c r="O69">
        <v>406422.27126105712</v>
      </c>
      <c r="P69">
        <v>5068460.0998031599</v>
      </c>
      <c r="Q69" s="198">
        <v>406422.27126105712</v>
      </c>
      <c r="X69" s="6">
        <f t="shared" si="4"/>
        <v>531549.78037669219</v>
      </c>
    </row>
    <row r="70" spans="2:24">
      <c r="B70">
        <v>55</v>
      </c>
      <c r="C70">
        <v>7</v>
      </c>
      <c r="D70" t="s">
        <v>323</v>
      </c>
      <c r="E70">
        <v>1018.6915887850466</v>
      </c>
      <c r="F70">
        <v>3498.9359116141391</v>
      </c>
      <c r="G70">
        <v>3564336.5828592628</v>
      </c>
      <c r="H70">
        <v>2046877.5082942713</v>
      </c>
      <c r="I70">
        <v>1517459.0745649915</v>
      </c>
      <c r="J70">
        <v>483968.78830000001</v>
      </c>
      <c r="K70">
        <v>765.48565293721595</v>
      </c>
      <c r="L70">
        <v>606692.0990770536</v>
      </c>
      <c r="M70">
        <v>10809.92197075</v>
      </c>
      <c r="N70">
        <v>0</v>
      </c>
      <c r="O70">
        <v>415222.77956425073</v>
      </c>
      <c r="P70">
        <v>5483682.8793674111</v>
      </c>
      <c r="Q70" s="198">
        <v>415222.77956425073</v>
      </c>
      <c r="S70" s="180" t="s">
        <v>338</v>
      </c>
      <c r="T70" s="202" t="s">
        <v>330</v>
      </c>
      <c r="X70" s="6">
        <f t="shared" si="4"/>
        <v>534650.48742888938</v>
      </c>
    </row>
    <row r="71" spans="2:24">
      <c r="B71">
        <v>56</v>
      </c>
      <c r="C71">
        <v>8</v>
      </c>
      <c r="D71" t="s">
        <v>324</v>
      </c>
      <c r="E71">
        <v>1018.6915887850466</v>
      </c>
      <c r="F71">
        <v>3519.3463710985552</v>
      </c>
      <c r="G71">
        <v>3585128.5462592756</v>
      </c>
      <c r="H71">
        <v>2058817.6270926548</v>
      </c>
      <c r="I71">
        <v>1526310.9191666208</v>
      </c>
      <c r="J71">
        <v>483968.78830000001</v>
      </c>
      <c r="K71">
        <v>765.48565293721595</v>
      </c>
      <c r="L71">
        <v>606692.0990770536</v>
      </c>
      <c r="M71">
        <v>10809.92197075</v>
      </c>
      <c r="N71">
        <v>0</v>
      </c>
      <c r="O71">
        <v>424074.62416588003</v>
      </c>
      <c r="P71">
        <v>5907757.5035332907</v>
      </c>
      <c r="Q71" s="198">
        <v>424074.62416588003</v>
      </c>
      <c r="S71" s="6">
        <f>Q76-V68</f>
        <v>3493029.3595366096</v>
      </c>
      <c r="T71" s="6">
        <f>S71*0.2</f>
        <v>698605.87190732197</v>
      </c>
      <c r="X71" s="6">
        <f t="shared" si="4"/>
        <v>537769.28193889128</v>
      </c>
    </row>
    <row r="72" spans="2:24">
      <c r="B72">
        <v>57</v>
      </c>
      <c r="C72">
        <v>9</v>
      </c>
      <c r="D72" t="s">
        <v>325</v>
      </c>
      <c r="E72">
        <v>1018.6915887850466</v>
      </c>
      <c r="F72">
        <v>3539.8758915966305</v>
      </c>
      <c r="G72">
        <v>3606041.796112455</v>
      </c>
      <c r="H72">
        <v>2070827.3965840288</v>
      </c>
      <c r="I72">
        <v>1535214.3995284261</v>
      </c>
      <c r="J72">
        <v>483968.78830000001</v>
      </c>
      <c r="K72">
        <v>765.48565293721595</v>
      </c>
      <c r="L72">
        <v>606692.0990770536</v>
      </c>
      <c r="M72">
        <v>10809.92197075</v>
      </c>
      <c r="N72">
        <v>0</v>
      </c>
      <c r="O72">
        <v>432978.10452768533</v>
      </c>
      <c r="P72">
        <v>6340735.6080609765</v>
      </c>
      <c r="Q72" s="198">
        <v>432978.10452768533</v>
      </c>
      <c r="X72" s="6">
        <f t="shared" si="4"/>
        <v>540906.26941686822</v>
      </c>
    </row>
    <row r="73" spans="2:24">
      <c r="B73">
        <v>58</v>
      </c>
      <c r="C73">
        <v>10</v>
      </c>
      <c r="D73" t="s">
        <v>326</v>
      </c>
      <c r="E73">
        <v>1018.6915887850466</v>
      </c>
      <c r="F73">
        <v>3560.525167630944</v>
      </c>
      <c r="G73">
        <v>3627077.039923111</v>
      </c>
      <c r="H73">
        <v>2082907.2230641022</v>
      </c>
      <c r="I73">
        <v>1544169.8168590087</v>
      </c>
      <c r="J73">
        <v>483968.78830000001</v>
      </c>
      <c r="K73">
        <v>765.48565293721595</v>
      </c>
      <c r="L73">
        <v>606692.0990770536</v>
      </c>
      <c r="M73">
        <v>10809.92197075</v>
      </c>
      <c r="N73">
        <v>0</v>
      </c>
      <c r="O73">
        <v>441933.52185826795</v>
      </c>
      <c r="P73">
        <v>6782669.129919244</v>
      </c>
      <c r="Q73" s="198">
        <v>441933.52185826795</v>
      </c>
      <c r="X73" s="6">
        <f t="shared" si="4"/>
        <v>544061.5559884666</v>
      </c>
    </row>
    <row r="74" spans="2:24">
      <c r="B74">
        <v>59</v>
      </c>
      <c r="C74">
        <v>11</v>
      </c>
      <c r="D74" t="s">
        <v>327</v>
      </c>
      <c r="E74">
        <v>1018.6915887850466</v>
      </c>
      <c r="F74">
        <v>3581.2948977754581</v>
      </c>
      <c r="G74">
        <v>3648234.9893226628</v>
      </c>
      <c r="H74">
        <v>2095057.5151986431</v>
      </c>
      <c r="I74">
        <v>1553177.4741240197</v>
      </c>
      <c r="J74">
        <v>483968.78830000001</v>
      </c>
      <c r="K74">
        <v>765.48565293721595</v>
      </c>
      <c r="L74">
        <v>606692.0990770536</v>
      </c>
      <c r="M74">
        <v>10809.92197075</v>
      </c>
      <c r="N74">
        <v>0</v>
      </c>
      <c r="O74">
        <v>450941.17912327894</v>
      </c>
      <c r="P74">
        <v>7233610.3090425227</v>
      </c>
      <c r="Q74" s="198">
        <v>450941.17912327894</v>
      </c>
      <c r="X74" s="6">
        <f t="shared" si="4"/>
        <v>547235.24839839945</v>
      </c>
    </row>
    <row r="75" spans="2:24">
      <c r="B75">
        <v>60</v>
      </c>
      <c r="C75">
        <v>12</v>
      </c>
      <c r="D75" t="s">
        <v>328</v>
      </c>
      <c r="E75">
        <v>1018.6915887850466</v>
      </c>
      <c r="F75">
        <v>3602.1857846791481</v>
      </c>
      <c r="G75">
        <v>3669516.3600937114</v>
      </c>
      <c r="H75">
        <v>2107278.6840373017</v>
      </c>
      <c r="I75">
        <v>1562237.6760564097</v>
      </c>
      <c r="J75">
        <v>483968.78830000001</v>
      </c>
      <c r="K75">
        <v>765.48565293721595</v>
      </c>
      <c r="L75">
        <v>606692.0990770536</v>
      </c>
      <c r="M75">
        <v>10809.92197075</v>
      </c>
      <c r="N75">
        <v>0</v>
      </c>
      <c r="O75">
        <v>460001.38105566893</v>
      </c>
      <c r="P75">
        <v>7693611.6900981916</v>
      </c>
      <c r="Q75" s="198">
        <v>460001.38105566893</v>
      </c>
      <c r="X75" s="6">
        <f t="shared" si="4"/>
        <v>550427.45401405671</v>
      </c>
    </row>
    <row r="76" spans="2:24">
      <c r="F76">
        <v>41873.740761964727</v>
      </c>
      <c r="G76">
        <v>42656427.505179018</v>
      </c>
      <c r="H76">
        <v>24496138.345749367</v>
      </c>
      <c r="I76">
        <v>18160289.159429654</v>
      </c>
      <c r="J76">
        <v>5807625.4596000006</v>
      </c>
      <c r="K76">
        <v>9185.8278352465895</v>
      </c>
      <c r="L76">
        <v>7280305.1889246413</v>
      </c>
      <c r="M76">
        <v>129719.063649</v>
      </c>
      <c r="P76">
        <v>4933453.6194207622</v>
      </c>
      <c r="Q76" s="6">
        <v>4122536.6994207622</v>
      </c>
      <c r="X76" s="6">
        <f>SUM(X64:X75)</f>
        <v>6398464.1257768506</v>
      </c>
    </row>
    <row r="77" spans="2:24">
      <c r="X77" s="6">
        <f>AVERAGE(X64:X75)</f>
        <v>533205.34381473751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tabSelected="1" zoomScale="60" zoomScaleNormal="60" workbookViewId="0">
      <selection activeCell="F41" sqref="F41"/>
    </sheetView>
  </sheetViews>
  <sheetFormatPr defaultRowHeight="14.25"/>
  <cols>
    <col min="1" max="1" width="42.125" bestFit="1" customWidth="1"/>
    <col min="2" max="2" width="28.375" customWidth="1"/>
    <col min="3" max="3" width="29.25" bestFit="1" customWidth="1"/>
    <col min="4" max="4" width="20.125" bestFit="1" customWidth="1"/>
    <col min="5" max="5" width="24.625" bestFit="1" customWidth="1"/>
    <col min="6" max="6" width="20.25" bestFit="1" customWidth="1"/>
    <col min="7" max="7" width="16.25" bestFit="1" customWidth="1"/>
    <col min="8" max="8" width="17.5" bestFit="1" customWidth="1"/>
    <col min="9" max="9" width="14" bestFit="1" customWidth="1"/>
    <col min="10" max="10" width="14.125" bestFit="1" customWidth="1"/>
    <col min="11" max="11" width="18" bestFit="1" customWidth="1"/>
  </cols>
  <sheetData>
    <row r="1" spans="1:7">
      <c r="A1" s="1" t="s">
        <v>291</v>
      </c>
      <c r="B1" s="1" t="s">
        <v>339</v>
      </c>
    </row>
    <row r="2" spans="1:7">
      <c r="A2" t="s">
        <v>340</v>
      </c>
      <c r="B2" s="158">
        <f>'Inputs&amp;Assumptions'!B21</f>
        <v>433.69158878504663</v>
      </c>
    </row>
    <row r="3" spans="1:7">
      <c r="A3" t="s">
        <v>341</v>
      </c>
      <c r="B3" s="158">
        <f>'costv.1.1'!E92</f>
        <v>1047927.2231650536</v>
      </c>
    </row>
    <row r="4" spans="1:7">
      <c r="A4" t="s">
        <v>342</v>
      </c>
      <c r="B4" s="158">
        <f>B3/B2</f>
        <v>2416.2959353229344</v>
      </c>
    </row>
    <row r="5" spans="1:7">
      <c r="D5" s="180" t="s">
        <v>343</v>
      </c>
    </row>
    <row r="6" spans="1:7">
      <c r="D6" s="156">
        <v>0.17499999999999999</v>
      </c>
    </row>
    <row r="8" spans="1:7">
      <c r="D8" s="180" t="s">
        <v>344</v>
      </c>
      <c r="E8" s="180" t="s">
        <v>345</v>
      </c>
    </row>
    <row r="9" spans="1:7">
      <c r="D9" s="6">
        <f>'Inputs&amp;Assumptions'!B23-'Inputs&amp;Assumptions'!B4</f>
        <v>433.69158878504663</v>
      </c>
      <c r="E9" s="6">
        <f>B3</f>
        <v>1047927.2231650536</v>
      </c>
    </row>
    <row r="11" spans="1:7">
      <c r="D11" t="s">
        <v>346</v>
      </c>
      <c r="E11" t="s">
        <v>347</v>
      </c>
    </row>
    <row r="12" spans="1:7">
      <c r="C12">
        <v>0</v>
      </c>
      <c r="D12" s="217">
        <f>'Monthly_P&amp;L_12M'!N2</f>
        <v>-4054584.6</v>
      </c>
      <c r="E12" s="217">
        <f>D12</f>
        <v>-4054584.6</v>
      </c>
    </row>
    <row r="13" spans="1:7">
      <c r="C13">
        <v>1</v>
      </c>
      <c r="D13" s="217">
        <f>SUM('Monthly_P&amp;L_12M'!N8:N19)-'Monthly_P&amp;L_12M'!P6</f>
        <v>851165.85107454739</v>
      </c>
      <c r="E13" s="217">
        <f>SUM(D12:D13)</f>
        <v>-3203418.7489254526</v>
      </c>
    </row>
    <row r="14" spans="1:7">
      <c r="C14">
        <v>2</v>
      </c>
      <c r="D14" s="217">
        <f>SUM('Monthly_P&amp;L_12M'!N24:N35)-'Monthly_P&amp;L_12M'!Q20-'Monthly_P&amp;L_12M'!R20-'Monthly_P&amp;L_12M'!P22</f>
        <v>1759854.4622503803</v>
      </c>
      <c r="E14" s="217">
        <f>D13+D14+D12</f>
        <v>-1443564.2866750723</v>
      </c>
      <c r="F14">
        <v>2</v>
      </c>
    </row>
    <row r="15" spans="1:7">
      <c r="C15">
        <v>3</v>
      </c>
      <c r="D15" s="217">
        <f>SUM('Monthly_P&amp;L_12M'!N39:N50)-'Monthly_P&amp;L_12M'!Q36-'Monthly_P&amp;L_12M'!R36-'Monthly_P&amp;L_12M'!P37</f>
        <v>2418365.7453497276</v>
      </c>
      <c r="E15" s="217">
        <f>D13+D14+D15+D12</f>
        <v>974801.45867465576</v>
      </c>
      <c r="F15" s="6">
        <f>E14*(-1)</f>
        <v>1443564.2866750723</v>
      </c>
      <c r="G15" s="220">
        <f>F15/D15</f>
        <v>0.59691727334912026</v>
      </c>
    </row>
    <row r="16" spans="1:7">
      <c r="C16">
        <v>4</v>
      </c>
      <c r="D16" s="217">
        <f>SUM('Monthly_P&amp;L_12M'!N54:N65)-'Monthly_P&amp;L_12M'!Q51-'Monthly_P&amp;L_12M'!R51-'Monthly_P&amp;L_12M'!P52</f>
        <v>3154719.7746259482</v>
      </c>
      <c r="E16" s="217">
        <f>D13+D14+D15+D16+D12</f>
        <v>4129521.2333006035</v>
      </c>
      <c r="G16" s="219">
        <f>F14+G15</f>
        <v>2.5969172733491201</v>
      </c>
    </row>
    <row r="17" spans="1:13">
      <c r="C17">
        <v>5</v>
      </c>
      <c r="D17" s="217">
        <f>SUM('Monthly_P&amp;L_12M'!N69:N80)-'Monthly_P&amp;L_12M'!Q66-'Monthly_P&amp;L_12M'!R66-'Monthly_P&amp;L_12M'!P67</f>
        <v>3945894.683856979</v>
      </c>
      <c r="E17" s="217">
        <f>D13+D14+D15+D16+D17+D12</f>
        <v>8075415.9171575829</v>
      </c>
    </row>
    <row r="18" spans="1:13">
      <c r="D18" s="218"/>
      <c r="E18" s="218"/>
    </row>
    <row r="20" spans="1:13">
      <c r="C20">
        <v>0</v>
      </c>
      <c r="D20">
        <v>1</v>
      </c>
      <c r="E20">
        <v>2</v>
      </c>
      <c r="F20">
        <v>3</v>
      </c>
      <c r="G20">
        <v>4</v>
      </c>
      <c r="H20">
        <v>5</v>
      </c>
    </row>
    <row r="21" spans="1:13">
      <c r="B21" t="s">
        <v>346</v>
      </c>
      <c r="C21" s="221">
        <f>D12</f>
        <v>-4054584.6</v>
      </c>
      <c r="D21" s="221">
        <f>D13</f>
        <v>851165.85107454739</v>
      </c>
      <c r="E21" s="221">
        <f>D14</f>
        <v>1759854.4622503803</v>
      </c>
      <c r="F21" s="221">
        <f>D15</f>
        <v>2418365.7453497276</v>
      </c>
      <c r="G21" s="221">
        <f>D16</f>
        <v>3154719.7746259482</v>
      </c>
      <c r="H21" s="221">
        <f>D17</f>
        <v>3945894.683856979</v>
      </c>
    </row>
    <row r="22" spans="1:13">
      <c r="B22" t="s">
        <v>347</v>
      </c>
      <c r="C22" s="221">
        <f>E12</f>
        <v>-4054584.6</v>
      </c>
      <c r="D22" s="221">
        <f>E13</f>
        <v>-3203418.7489254526</v>
      </c>
      <c r="E22" s="221">
        <f>E14</f>
        <v>-1443564.2866750723</v>
      </c>
      <c r="F22" s="221">
        <f>E15</f>
        <v>974801.45867465576</v>
      </c>
      <c r="G22" s="221">
        <f>E16</f>
        <v>4129521.2333006035</v>
      </c>
      <c r="H22" s="221">
        <f>E17</f>
        <v>8075415.9171575829</v>
      </c>
    </row>
    <row r="24" spans="1:13">
      <c r="A24" s="175" t="s">
        <v>348</v>
      </c>
      <c r="C24" s="175" t="s">
        <v>348</v>
      </c>
    </row>
    <row r="25" spans="1:13">
      <c r="A25" s="194" t="s">
        <v>349</v>
      </c>
      <c r="C25" s="194" t="s">
        <v>350</v>
      </c>
      <c r="L25" s="6"/>
    </row>
    <row r="26" spans="1:13" ht="18.75" customHeight="1">
      <c r="A26" s="227">
        <f>E37/F37</f>
        <v>5.2300498548146501E-2</v>
      </c>
      <c r="B26" t="s">
        <v>351</v>
      </c>
      <c r="C26" s="227">
        <f>E37/I37</f>
        <v>4.6382755630009147E-2</v>
      </c>
      <c r="D26" t="s">
        <v>352</v>
      </c>
      <c r="E26" s="201" t="s">
        <v>353</v>
      </c>
      <c r="F26" s="222">
        <f>E9/D9</f>
        <v>2416.2959353229344</v>
      </c>
    </row>
    <row r="27" spans="1:13" ht="18.75" customHeight="1">
      <c r="A27" s="227">
        <f>E38/F38</f>
        <v>7.8854923378835873E-2</v>
      </c>
      <c r="B27" t="s">
        <v>351</v>
      </c>
      <c r="C27" s="227">
        <f>E38/I38</f>
        <v>7.0292985346092976E-2</v>
      </c>
      <c r="D27" t="s">
        <v>354</v>
      </c>
      <c r="E27" s="201" t="s">
        <v>355</v>
      </c>
      <c r="F27" s="222">
        <f>G16</f>
        <v>2.5969172733491201</v>
      </c>
      <c r="G27" s="202" t="s">
        <v>356</v>
      </c>
      <c r="H27">
        <v>1</v>
      </c>
      <c r="I27">
        <v>365</v>
      </c>
      <c r="K27" s="194" t="s">
        <v>357</v>
      </c>
      <c r="L27" s="194" t="s">
        <v>241</v>
      </c>
      <c r="M27" s="194" t="s">
        <v>285</v>
      </c>
    </row>
    <row r="28" spans="1:13" ht="18.75" customHeight="1">
      <c r="A28" s="227">
        <f>E39/F39</f>
        <v>0.10272833770125428</v>
      </c>
      <c r="B28" t="s">
        <v>351</v>
      </c>
      <c r="C28" s="227">
        <f>E39/I39</f>
        <v>9.2004268336993239E-2</v>
      </c>
      <c r="D28" t="s">
        <v>354</v>
      </c>
      <c r="E28" s="201" t="s">
        <v>358</v>
      </c>
      <c r="F28" s="223">
        <f>NPV(D6,D21:H21)+C21</f>
        <v>2852094.9926050282</v>
      </c>
      <c r="H28">
        <f>G16-F14</f>
        <v>0.59691727334912015</v>
      </c>
      <c r="K28" s="163">
        <f>(H28*I27)/H27</f>
        <v>217.87480477242886</v>
      </c>
      <c r="L28" s="163">
        <f>K28/30</f>
        <v>7.2624934924142952</v>
      </c>
      <c r="M28" s="163">
        <f>(H31*I30)/H30</f>
        <v>7.8748047724288561</v>
      </c>
    </row>
    <row r="29" spans="1:13" ht="18.75" customHeight="1">
      <c r="A29" s="227">
        <f>E40/F40</f>
        <v>0.12637329836354849</v>
      </c>
      <c r="B29" t="s">
        <v>359</v>
      </c>
      <c r="C29" s="227">
        <f>E40/I40</f>
        <v>0.1137045749271367</v>
      </c>
      <c r="D29" t="s">
        <v>354</v>
      </c>
      <c r="E29" s="201" t="s">
        <v>360</v>
      </c>
      <c r="F29" s="224">
        <f>IRR(D12:D17)</f>
        <v>0.38715211367387536</v>
      </c>
    </row>
    <row r="30" spans="1:13" ht="18.75" customHeight="1">
      <c r="A30" s="227">
        <f>E41/F41</f>
        <v>0.14969710741417688</v>
      </c>
      <c r="B30" t="s">
        <v>361</v>
      </c>
      <c r="C30" s="227">
        <f>E41/I41</f>
        <v>0.1353029253755213</v>
      </c>
      <c r="D30" t="s">
        <v>362</v>
      </c>
      <c r="H30">
        <v>1</v>
      </c>
      <c r="I30">
        <v>30</v>
      </c>
    </row>
    <row r="31" spans="1:13">
      <c r="H31">
        <f>L28-7</f>
        <v>0.2624934924142952</v>
      </c>
    </row>
    <row r="32" spans="1:13">
      <c r="C32" s="180" t="s">
        <v>348</v>
      </c>
    </row>
    <row r="35" spans="1:11">
      <c r="E35" s="6">
        <f>'Inputs&amp;Assumptions'!B35</f>
        <v>810916.92</v>
      </c>
      <c r="I35" s="158">
        <f>'Monthly_P&amp;L_12M'!M2</f>
        <v>4054584.6</v>
      </c>
    </row>
    <row r="36" spans="1:11">
      <c r="B36" t="s">
        <v>363</v>
      </c>
      <c r="C36" t="s">
        <v>364</v>
      </c>
      <c r="D36" t="s">
        <v>71</v>
      </c>
      <c r="E36" t="s">
        <v>365</v>
      </c>
      <c r="F36" t="s">
        <v>366</v>
      </c>
      <c r="G36" t="s">
        <v>367</v>
      </c>
      <c r="H36" t="s">
        <v>368</v>
      </c>
      <c r="I36" t="s">
        <v>369</v>
      </c>
      <c r="J36" t="s">
        <v>370</v>
      </c>
      <c r="K36" t="s">
        <v>371</v>
      </c>
    </row>
    <row r="37" spans="1:11">
      <c r="B37">
        <v>1</v>
      </c>
      <c r="C37" s="178">
        <f>'Monthly_P&amp;L_12M'!P20</f>
        <v>851165.85107454739</v>
      </c>
      <c r="D37" s="178">
        <f>'Inputs&amp;Assumptions'!B35</f>
        <v>810916.92</v>
      </c>
      <c r="E37" s="6">
        <f>C37+$E$35</f>
        <v>1662082.7710745474</v>
      </c>
      <c r="F37" s="178">
        <f>'Monthly_P&amp;L_12M'!V15</f>
        <v>31779482.360851236</v>
      </c>
      <c r="G37" s="226">
        <v>3.49E-2</v>
      </c>
      <c r="H37" s="226">
        <v>6.0900000000000003E-2</v>
      </c>
      <c r="I37" s="6">
        <f>F37+$I$35</f>
        <v>35834066.960851237</v>
      </c>
      <c r="J37" s="226">
        <v>3.09E-2</v>
      </c>
      <c r="K37" s="226">
        <v>5.3900000000000003E-2</v>
      </c>
    </row>
    <row r="38" spans="1:11">
      <c r="B38">
        <v>2</v>
      </c>
      <c r="C38" s="178">
        <f>'Monthly_P&amp;L_12M'!P36</f>
        <v>1813997.1363914534</v>
      </c>
      <c r="D38" s="178">
        <f>'Inputs&amp;Assumptions'!B36</f>
        <v>810916.92</v>
      </c>
      <c r="E38" s="6">
        <f>C38+$E$35</f>
        <v>2624914.0563914534</v>
      </c>
      <c r="F38" s="178">
        <f>'Monthly_P&amp;L_12M'!V31</f>
        <v>33287890.519921072</v>
      </c>
      <c r="G38" s="226">
        <v>6.1600000000000002E-2</v>
      </c>
      <c r="H38" s="226">
        <v>8.6400000000000005E-2</v>
      </c>
      <c r="I38" s="6">
        <f>F38+$I$35</f>
        <v>37342475.119921073</v>
      </c>
      <c r="J38" s="226">
        <v>5.4800000000000001E-2</v>
      </c>
      <c r="K38" s="226">
        <v>7.6899999999999996E-2</v>
      </c>
    </row>
    <row r="39" spans="1:11">
      <c r="B39">
        <v>3</v>
      </c>
      <c r="C39" s="178">
        <f>'Monthly_P&amp;L_12M'!P51</f>
        <v>2762510.6907044076</v>
      </c>
      <c r="D39" s="178">
        <f>'Inputs&amp;Assumptions'!B37</f>
        <v>810916.92</v>
      </c>
      <c r="E39" s="6">
        <f>C39+$E$35</f>
        <v>3573427.6107044076</v>
      </c>
      <c r="F39" s="178">
        <f>'Monthly_P&amp;L_12M'!V46</f>
        <v>34785217.89281106</v>
      </c>
      <c r="G39" s="226">
        <v>8.5699999999999998E-2</v>
      </c>
      <c r="H39" s="226">
        <v>0.1094</v>
      </c>
      <c r="I39" s="6">
        <f>F39+$I$35</f>
        <v>38839802.492811061</v>
      </c>
      <c r="J39" s="226">
        <v>7.6600000000000001E-2</v>
      </c>
      <c r="K39" s="226">
        <v>9.7799999999999998E-2</v>
      </c>
    </row>
    <row r="40" spans="1:11">
      <c r="B40">
        <v>4</v>
      </c>
      <c r="C40" s="178">
        <f>'Monthly_P&amp;L_12M'!P66</f>
        <v>3787906.8863054849</v>
      </c>
      <c r="D40" s="178">
        <f>'Inputs&amp;Assumptions'!B38</f>
        <v>810916.92</v>
      </c>
      <c r="E40" s="6">
        <f>C40+$E$35</f>
        <v>4598823.8063054848</v>
      </c>
      <c r="F40" s="178">
        <f>'Monthly_P&amp;L_12M'!V61</f>
        <v>36390787.182555519</v>
      </c>
      <c r="G40" s="226">
        <v>0.1095</v>
      </c>
      <c r="H40" s="226">
        <v>0.1323</v>
      </c>
      <c r="I40" s="6">
        <f>F40+$I$35</f>
        <v>40445371.782555521</v>
      </c>
      <c r="J40" s="226">
        <v>9.8299999999999998E-2</v>
      </c>
      <c r="K40" s="226">
        <v>0.1188</v>
      </c>
    </row>
    <row r="41" spans="1:11">
      <c r="B41">
        <v>5</v>
      </c>
      <c r="C41" s="178">
        <f>'Monthly_P&amp;L_12M'!P81</f>
        <v>4894402.5904945135</v>
      </c>
      <c r="D41" s="178">
        <f>'Inputs&amp;Assumptions'!B39</f>
        <v>810916.92</v>
      </c>
      <c r="E41" s="6">
        <f>C41+$E$35</f>
        <v>5705319.5104945134</v>
      </c>
      <c r="F41" s="178">
        <f>'Monthly_P&amp;L_12M'!V76</f>
        <v>38112423.206075914</v>
      </c>
      <c r="G41" s="226">
        <v>0.1331</v>
      </c>
      <c r="H41" s="226">
        <v>0.15479999999999999</v>
      </c>
      <c r="I41" s="6">
        <f>F41+$I$35</f>
        <v>42167007.806075916</v>
      </c>
      <c r="J41" s="226">
        <v>0.12</v>
      </c>
      <c r="K41" s="226">
        <v>0.1396</v>
      </c>
    </row>
    <row r="44" spans="1:11">
      <c r="A44" t="s">
        <v>372</v>
      </c>
    </row>
    <row r="45" spans="1:11">
      <c r="E45" s="6">
        <f>E37-$E$35</f>
        <v>851165.85107454739</v>
      </c>
    </row>
    <row r="46" spans="1:11">
      <c r="A46" t="s">
        <v>373</v>
      </c>
      <c r="E46" s="6">
        <f t="shared" ref="E46:E47" si="0">E38-$E$35</f>
        <v>1813997.1363914534</v>
      </c>
    </row>
    <row r="47" spans="1:11">
      <c r="E47" s="6">
        <f t="shared" si="0"/>
        <v>2762510.6907044076</v>
      </c>
    </row>
    <row r="48" spans="1:11">
      <c r="A48" t="s">
        <v>374</v>
      </c>
    </row>
    <row r="50" spans="1:1">
      <c r="A50" t="s">
        <v>375</v>
      </c>
    </row>
    <row r="52" spans="1:1">
      <c r="A52" t="s">
        <v>376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>
      <selection activeCell="B8" sqref="B8"/>
    </sheetView>
  </sheetViews>
  <sheetFormatPr defaultRowHeight="14.25"/>
  <cols>
    <col min="1" max="1" width="17.625" bestFit="1" customWidth="1"/>
    <col min="2" max="2" width="11.75" bestFit="1" customWidth="1"/>
  </cols>
  <sheetData>
    <row r="1" spans="1:2">
      <c r="A1" s="1" t="s">
        <v>377</v>
      </c>
      <c r="B1" s="1" t="s">
        <v>378</v>
      </c>
    </row>
    <row r="2" spans="1:2">
      <c r="A2" t="s">
        <v>379</v>
      </c>
      <c r="B2">
        <f>'Inputs&amp;Assumptions'!B8</f>
        <v>3322584.6</v>
      </c>
    </row>
    <row r="3" spans="1:2">
      <c r="A3" t="s">
        <v>380</v>
      </c>
      <c r="B3">
        <f>'Inputs&amp;Assumptions'!B9</f>
        <v>732000</v>
      </c>
    </row>
    <row r="4" spans="1:2">
      <c r="A4" t="s">
        <v>14</v>
      </c>
      <c r="B4">
        <f>'Inputs&amp;Assumptions'!B10</f>
        <v>4054584.6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62B6-AF50-4846-BEC7-40D31AF54A33}">
  <dimension ref="B7:P47"/>
  <sheetViews>
    <sheetView topLeftCell="A34" workbookViewId="0">
      <selection activeCell="N29" sqref="N29"/>
    </sheetView>
  </sheetViews>
  <sheetFormatPr defaultRowHeight="14.25"/>
  <cols>
    <col min="2" max="4" width="13.125" bestFit="1" customWidth="1"/>
    <col min="5" max="5" width="11.375" bestFit="1" customWidth="1"/>
    <col min="6" max="8" width="14.375" bestFit="1" customWidth="1"/>
    <col min="10" max="10" width="17" customWidth="1"/>
    <col min="11" max="12" width="12.75" bestFit="1" customWidth="1"/>
    <col min="13" max="13" width="14.125" bestFit="1" customWidth="1"/>
    <col min="14" max="16" width="13.125" bestFit="1" customWidth="1"/>
  </cols>
  <sheetData>
    <row r="7" spans="5:13">
      <c r="E7" s="229" t="s">
        <v>291</v>
      </c>
      <c r="F7" s="231" t="s">
        <v>381</v>
      </c>
      <c r="G7" s="231" t="s">
        <v>382</v>
      </c>
      <c r="H7" s="231" t="s">
        <v>383</v>
      </c>
    </row>
    <row r="8" spans="5:13" ht="42.75">
      <c r="E8" s="232" t="s">
        <v>384</v>
      </c>
      <c r="F8" s="233">
        <v>3084000</v>
      </c>
      <c r="G8" s="233">
        <v>3176520</v>
      </c>
      <c r="H8" s="233">
        <v>3271816</v>
      </c>
    </row>
    <row r="9" spans="5:13">
      <c r="E9" s="232" t="s">
        <v>385</v>
      </c>
      <c r="F9" s="233">
        <v>540000</v>
      </c>
      <c r="G9" s="233">
        <v>540000</v>
      </c>
      <c r="H9" s="233">
        <v>540000</v>
      </c>
    </row>
    <row r="10" spans="5:13" ht="28.5">
      <c r="E10" s="232" t="s">
        <v>386</v>
      </c>
      <c r="F10" s="233">
        <v>16704</v>
      </c>
      <c r="G10" s="233">
        <v>16950.36</v>
      </c>
      <c r="H10" s="233">
        <v>17202.48</v>
      </c>
    </row>
    <row r="11" spans="5:13" ht="42.75">
      <c r="E11" s="232" t="s">
        <v>387</v>
      </c>
      <c r="F11" s="230" t="s">
        <v>388</v>
      </c>
      <c r="G11" s="230" t="s">
        <v>388</v>
      </c>
      <c r="H11" s="230" t="s">
        <v>388</v>
      </c>
    </row>
    <row r="12" spans="5:13">
      <c r="E12" s="232" t="s">
        <v>389</v>
      </c>
      <c r="F12" s="233">
        <v>810916.92</v>
      </c>
      <c r="G12" s="233">
        <v>810916.92</v>
      </c>
      <c r="H12" s="233">
        <v>810916.92</v>
      </c>
    </row>
    <row r="13" spans="5:13">
      <c r="E13" s="232" t="s">
        <v>390</v>
      </c>
      <c r="F13" s="230" t="s">
        <v>388</v>
      </c>
      <c r="G13" s="230" t="s">
        <v>388</v>
      </c>
      <c r="H13" s="230" t="s">
        <v>388</v>
      </c>
    </row>
    <row r="14" spans="5:13">
      <c r="E14" s="232" t="s">
        <v>58</v>
      </c>
      <c r="F14" s="233">
        <v>126660</v>
      </c>
      <c r="G14" s="233">
        <v>127047</v>
      </c>
      <c r="H14" s="233">
        <v>128885.61</v>
      </c>
      <c r="J14">
        <v>35834066.960851237</v>
      </c>
      <c r="K14">
        <v>37342475.119921073</v>
      </c>
      <c r="L14">
        <v>38839802.492811061</v>
      </c>
    </row>
    <row r="15" spans="5:13">
      <c r="E15" s="232" t="s">
        <v>391</v>
      </c>
      <c r="F15" s="178">
        <v>2997188</v>
      </c>
      <c r="G15" s="178">
        <v>2997187.9999999995</v>
      </c>
      <c r="H15" s="178">
        <v>2997187.9999999995</v>
      </c>
    </row>
    <row r="16" spans="5:13">
      <c r="E16" s="234" t="s">
        <v>392</v>
      </c>
      <c r="F16" s="178">
        <f>SUM(F8:F15)</f>
        <v>7575468.9199999999</v>
      </c>
      <c r="G16" s="178">
        <f>SUM(G8:G15)</f>
        <v>7668622.2799999993</v>
      </c>
      <c r="H16" s="178">
        <f>SUM(H8:H15)</f>
        <v>7766009.0099999998</v>
      </c>
      <c r="M16" s="6">
        <f>'costv.1.1'!H83</f>
        <v>2997187.9999999995</v>
      </c>
    </row>
    <row r="18" spans="6:16">
      <c r="J18" s="178"/>
    </row>
    <row r="19" spans="6:16">
      <c r="J19" s="171">
        <f>J23/J14</f>
        <v>4.6382755630009279E-2</v>
      </c>
      <c r="K19" s="171">
        <f t="shared" ref="K19:L19" si="0">K23/K14</f>
        <v>7.0292944766878196E-2</v>
      </c>
      <c r="L19" s="171">
        <f t="shared" si="0"/>
        <v>9.2003819176200305E-2</v>
      </c>
    </row>
    <row r="21" spans="6:16">
      <c r="F21" s="231" t="s">
        <v>381</v>
      </c>
      <c r="G21" s="231" t="s">
        <v>382</v>
      </c>
      <c r="H21" s="231" t="s">
        <v>383</v>
      </c>
      <c r="J21" s="178"/>
    </row>
    <row r="22" spans="6:16">
      <c r="F22" s="233">
        <v>5810573.1799999997</v>
      </c>
      <c r="G22" s="233">
        <v>5872853.1799999997</v>
      </c>
      <c r="H22" s="233">
        <v>5937017.1799999997</v>
      </c>
    </row>
    <row r="23" spans="6:16">
      <c r="J23" s="6">
        <f>J24+$M$23</f>
        <v>1662082.7710745521</v>
      </c>
      <c r="K23" s="6">
        <f t="shared" ref="K23:L23" si="1">K24+$M$23</f>
        <v>2624912.5410631355</v>
      </c>
      <c r="L23" s="6">
        <f t="shared" si="1"/>
        <v>3573410.1653879229</v>
      </c>
      <c r="M23" s="6">
        <f>F31-M25</f>
        <v>810915.42201935872</v>
      </c>
      <c r="O23" s="6">
        <f>M23/12</f>
        <v>67576.285168279894</v>
      </c>
    </row>
    <row r="24" spans="6:16">
      <c r="J24" s="178">
        <f>F29-J31</f>
        <v>851167.34905519336</v>
      </c>
      <c r="K24" s="178">
        <f t="shared" ref="K24:L24" si="2">G29-K31</f>
        <v>1813997.1190437768</v>
      </c>
      <c r="L24" s="178">
        <f t="shared" si="2"/>
        <v>2762494.7433685642</v>
      </c>
    </row>
    <row r="25" spans="6:16">
      <c r="M25" s="158">
        <f>SUM('Monthly_P&amp;L_12M'!I20:L20)</f>
        <v>12575126.677980641</v>
      </c>
    </row>
    <row r="27" spans="6:16">
      <c r="N27" s="6">
        <f>N30+N40</f>
        <v>5160000</v>
      </c>
      <c r="O27" s="6">
        <f t="shared" ref="O27:P27" si="3">O30+O40</f>
        <v>5314800</v>
      </c>
      <c r="P27" s="6">
        <f t="shared" si="3"/>
        <v>5474244</v>
      </c>
    </row>
    <row r="29" spans="6:16">
      <c r="F29">
        <f>'Monthly_P&amp;L_12M'!H20</f>
        <v>14237209.449055193</v>
      </c>
      <c r="G29">
        <f>'Monthly_P&amp;L_12M'!H36</f>
        <v>15355472.579043776</v>
      </c>
      <c r="H29">
        <f>'Monthly_P&amp;L_12M'!H51</f>
        <v>16465520.933368564</v>
      </c>
      <c r="N29" s="7">
        <f>SUM('Inputs&amp;Assumptions'!I5:I11)</f>
        <v>173000</v>
      </c>
      <c r="O29">
        <f>SUM('Inputs&amp;Assumptions'!K5:K11)</f>
        <v>178190</v>
      </c>
      <c r="P29">
        <f>SUM('Inputs&amp;Assumptions'!L5:L11)</f>
        <v>183535.7</v>
      </c>
    </row>
    <row r="30" spans="6:16">
      <c r="N30" s="158">
        <f>N29*12</f>
        <v>2076000</v>
      </c>
      <c r="O30" s="158">
        <f t="shared" ref="O30:P30" si="4">O29*12</f>
        <v>2138280</v>
      </c>
      <c r="P30" s="158">
        <f t="shared" si="4"/>
        <v>2202428.4000000004</v>
      </c>
    </row>
    <row r="31" spans="6:16">
      <c r="F31" s="178">
        <f>F16+F22</f>
        <v>13386042.1</v>
      </c>
      <c r="G31" s="178">
        <f>G16+G22</f>
        <v>13541475.459999999</v>
      </c>
      <c r="H31" s="178">
        <f>H16+H22</f>
        <v>13703026.189999999</v>
      </c>
      <c r="J31" s="178">
        <f>F16+F22</f>
        <v>13386042.1</v>
      </c>
      <c r="K31" s="178">
        <f t="shared" ref="K31:L31" si="5">G16+G22</f>
        <v>13541475.459999999</v>
      </c>
      <c r="L31" s="178">
        <f t="shared" si="5"/>
        <v>13703026.189999999</v>
      </c>
    </row>
    <row r="32" spans="6:16">
      <c r="F32" s="6">
        <f>F31-$M$23</f>
        <v>12575126.677980641</v>
      </c>
      <c r="G32" s="6">
        <f t="shared" ref="G32:H32" si="6">G31-$M$23</f>
        <v>12730560.03798064</v>
      </c>
      <c r="H32" s="6">
        <f t="shared" si="6"/>
        <v>12892110.767980641</v>
      </c>
      <c r="N32" s="158">
        <f>'costv.1.1'!L88</f>
        <v>448148.78267095721</v>
      </c>
      <c r="O32" s="158">
        <v>448148.78267095721</v>
      </c>
      <c r="P32" s="158">
        <v>448148.78267095721</v>
      </c>
    </row>
    <row r="33" spans="2:16">
      <c r="B33">
        <v>810915.42201935896</v>
      </c>
      <c r="N33" s="158">
        <f>'costv.1.1'!L89</f>
        <v>2427472.5728010186</v>
      </c>
      <c r="O33" s="158">
        <v>2427472.5728010186</v>
      </c>
      <c r="P33" s="158">
        <v>2427472.5728010186</v>
      </c>
    </row>
    <row r="34" spans="2:16">
      <c r="B34" s="6">
        <f>F29-F32</f>
        <v>1662082.7710745521</v>
      </c>
      <c r="C34" s="6">
        <f t="shared" ref="C34:D34" si="7">G29-G32</f>
        <v>2624912.5410631355</v>
      </c>
      <c r="D34" s="6">
        <f t="shared" si="7"/>
        <v>3573410.1653879229</v>
      </c>
      <c r="N34" s="158">
        <f>'costv.1.1'!L90</f>
        <v>858951.83345266804</v>
      </c>
      <c r="O34" s="158">
        <v>858951.83345266804</v>
      </c>
      <c r="P34" s="158">
        <v>858951.83345266804</v>
      </c>
    </row>
    <row r="35" spans="2:16">
      <c r="F35" s="178">
        <f>F29-F31</f>
        <v>851167.34905519336</v>
      </c>
      <c r="G35" s="178">
        <f>G29-G31</f>
        <v>1813997.1190437768</v>
      </c>
      <c r="H35" s="178">
        <f>H29-H31</f>
        <v>2762494.7433685642</v>
      </c>
    </row>
    <row r="36" spans="2:16">
      <c r="B36" s="6">
        <f>B34+$B$33</f>
        <v>2472998.1930939108</v>
      </c>
      <c r="C36" s="6">
        <f>C34+$B$33</f>
        <v>3435827.9630824942</v>
      </c>
      <c r="D36" s="6">
        <f>D34+$B$33</f>
        <v>4384325.5874072816</v>
      </c>
      <c r="N36" s="6">
        <f>SUM(N32:N34)</f>
        <v>3734573.1889246437</v>
      </c>
      <c r="O36" s="6">
        <f>SUM(O32:O34)</f>
        <v>3734573.1889246437</v>
      </c>
      <c r="P36" s="6">
        <f>SUM(P32:P34)</f>
        <v>3734573.1889246437</v>
      </c>
    </row>
    <row r="38" spans="2:16">
      <c r="J38" s="178">
        <f>F29-J31</f>
        <v>851167.34905519336</v>
      </c>
      <c r="K38" s="178">
        <f t="shared" ref="K38:L38" si="8">G29-K31</f>
        <v>1813997.1190437768</v>
      </c>
      <c r="L38" s="178">
        <f t="shared" si="8"/>
        <v>2762494.7433685642</v>
      </c>
    </row>
    <row r="39" spans="2:16">
      <c r="B39" s="171">
        <f>B36/F42</f>
        <v>7.0554075382515888E-2</v>
      </c>
      <c r="C39" s="171">
        <f t="shared" ref="C39:D39" si="9">C36/G42</f>
        <v>9.4137396029334602E-2</v>
      </c>
      <c r="D39" s="171">
        <f t="shared" si="9"/>
        <v>0.11557683118513834</v>
      </c>
      <c r="N39" s="158">
        <f>'Inputs&amp;Assumptions'!I2+'Inputs&amp;Assumptions'!I3+'Inputs&amp;Assumptions'!I4+'Inputs&amp;Assumptions'!I12+'Inputs&amp;Assumptions'!I13</f>
        <v>257000</v>
      </c>
      <c r="O39" s="158">
        <f>'Inputs&amp;Assumptions'!K2+'Inputs&amp;Assumptions'!K3+'Inputs&amp;Assumptions'!K4+'Inputs&amp;Assumptions'!K12+'Inputs&amp;Assumptions'!K13</f>
        <v>264710</v>
      </c>
      <c r="P39" s="158">
        <f>'Inputs&amp;Assumptions'!L2+'Inputs&amp;Assumptions'!L3+'Inputs&amp;Assumptions'!L4+'Inputs&amp;Assumptions'!L12+'Inputs&amp;Assumptions'!L13</f>
        <v>272651.3</v>
      </c>
    </row>
    <row r="40" spans="2:16">
      <c r="L40" t="s">
        <v>393</v>
      </c>
      <c r="N40" s="158">
        <f>N39*12</f>
        <v>3084000</v>
      </c>
      <c r="O40" s="158">
        <f t="shared" ref="O40:P40" si="10">O39*12</f>
        <v>3176520</v>
      </c>
      <c r="P40" s="158">
        <f t="shared" si="10"/>
        <v>3271815.5999999996</v>
      </c>
    </row>
    <row r="42" spans="2:16">
      <c r="F42">
        <v>35051103.422251754</v>
      </c>
      <c r="G42">
        <v>36498013.626931421</v>
      </c>
      <c r="H42">
        <v>37934294.810213208</v>
      </c>
      <c r="N42" s="6">
        <f>N30+N36</f>
        <v>5810573.1889246441</v>
      </c>
      <c r="O42" s="6">
        <f>O30+O36</f>
        <v>5872853.1889246441</v>
      </c>
      <c r="P42" s="6">
        <f>P30+P36</f>
        <v>5937001.5889246445</v>
      </c>
    </row>
    <row r="44" spans="2:16">
      <c r="N44" s="6">
        <f>'Monthly_P&amp;L_12M'!K8-'costv.1.1'!G131-'costv.1.1'!E83</f>
        <v>560980.0990770536</v>
      </c>
    </row>
    <row r="45" spans="2:16">
      <c r="N45" s="6">
        <f>N44*12</f>
        <v>6731761.1889246432</v>
      </c>
    </row>
    <row r="47" spans="2:16">
      <c r="F47" s="171">
        <f>F35/F42</f>
        <v>2.4283610669866684E-2</v>
      </c>
      <c r="G47" s="171">
        <f t="shared" ref="G47:H47" si="11">G35/G42</f>
        <v>4.9701256007676296E-2</v>
      </c>
      <c r="H47" s="171">
        <f t="shared" si="11"/>
        <v>7.2823147423444562E-2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6"/>
  <sheetViews>
    <sheetView workbookViewId="0">
      <selection activeCell="A16" sqref="A16"/>
    </sheetView>
  </sheetViews>
  <sheetFormatPr defaultRowHeight="14.25"/>
  <cols>
    <col min="1" max="1" width="80" bestFit="1" customWidth="1"/>
    <col min="2" max="2" width="11.25" customWidth="1"/>
  </cols>
  <sheetData>
    <row r="1" spans="1:2">
      <c r="A1" t="s">
        <v>394</v>
      </c>
    </row>
    <row r="3" spans="1:2">
      <c r="A3" t="s">
        <v>395</v>
      </c>
      <c r="B3">
        <f>'Monthly_P&amp;L_12M'!F21</f>
        <v>2786797.0943271485</v>
      </c>
    </row>
    <row r="4" spans="1:2">
      <c r="A4" t="s">
        <v>396</v>
      </c>
      <c r="B4">
        <f>'Monthly_P&amp;L_12M'!G21</f>
        <v>1600362.9735725494</v>
      </c>
    </row>
    <row r="5" spans="1:2">
      <c r="A5" t="s">
        <v>397</v>
      </c>
      <c r="B5">
        <f>'Monthly_P&amp;L_12M'!H21</f>
        <v>1186434.1207545993</v>
      </c>
    </row>
    <row r="6" spans="1:2">
      <c r="A6" t="s">
        <v>398</v>
      </c>
      <c r="B6">
        <f>'Monthly_P&amp;L_12M'!I21</f>
        <v>430000</v>
      </c>
    </row>
    <row r="7" spans="1:2">
      <c r="A7" t="s">
        <v>399</v>
      </c>
      <c r="B7">
        <f>'Monthly_P&amp;L_12M'!N21</f>
        <v>138506.89758954561</v>
      </c>
    </row>
    <row r="9" spans="1:2">
      <c r="A9" t="s">
        <v>342</v>
      </c>
      <c r="B9">
        <f>'BEP-PP-NPV-IRR'!B4</f>
        <v>2416.2959353229344</v>
      </c>
    </row>
    <row r="11" spans="1:2">
      <c r="A11" t="s">
        <v>54</v>
      </c>
      <c r="B11">
        <f>CAPEX!B4</f>
        <v>4054584.6</v>
      </c>
    </row>
    <row r="13" spans="1:2">
      <c r="A13" t="s">
        <v>400</v>
      </c>
    </row>
    <row r="14" spans="1:2">
      <c r="A14" t="s">
        <v>401</v>
      </c>
    </row>
    <row r="15" spans="1:2">
      <c r="A15" t="s">
        <v>402</v>
      </c>
    </row>
    <row r="16" spans="1:2">
      <c r="A16" t="s">
        <v>403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Id xmlns="faad3f96-c2d4-4345-851e-74eb08595589" xsi:nil="true"/>
    <lcf76f155ced4ddcb4097134ff3c332f xmlns="faad3f96-c2d4-4345-851e-74eb08595589">
      <Terms xmlns="http://schemas.microsoft.com/office/infopath/2007/PartnerControls"/>
    </lcf76f155ced4ddcb4097134ff3c332f>
    <TaxCatchAll xmlns="ff83689c-f5f5-4b97-84d3-a2677e2511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742727E8167B4CB7294D9FFF28D882" ma:contentTypeVersion="12" ma:contentTypeDescription="Create a new document." ma:contentTypeScope="" ma:versionID="3dd5995ffedf461d73e92c1d6c1be4ee">
  <xsd:schema xmlns:xsd="http://www.w3.org/2001/XMLSchema" xmlns:xs="http://www.w3.org/2001/XMLSchema" xmlns:p="http://schemas.microsoft.com/office/2006/metadata/properties" xmlns:ns2="faad3f96-c2d4-4345-851e-74eb08595589" xmlns:ns3="ff83689c-f5f5-4b97-84d3-a2677e251176" targetNamespace="http://schemas.microsoft.com/office/2006/metadata/properties" ma:root="true" ma:fieldsID="8e5841200ced5b6804592ac3f10221b8" ns2:_="" ns3:_="">
    <xsd:import namespace="faad3f96-c2d4-4345-851e-74eb08595589"/>
    <xsd:import namespace="ff83689c-f5f5-4b97-84d3-a2677e251176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d3f96-c2d4-4345-851e-74eb08595589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34f6d19-2577-4d9e-b581-9d8131a321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3689c-f5f5-4b97-84d3-a2677e25117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ff5ba97-4899-4df7-8be2-2cc38f47e7cc}" ma:internalName="TaxCatchAll" ma:showField="CatchAllData" ma:web="ff83689c-f5f5-4b97-84d3-a2677e2511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E2BE5A-B0CA-43F5-9993-3B6A31229A14}"/>
</file>

<file path=customXml/itemProps2.xml><?xml version="1.0" encoding="utf-8"?>
<ds:datastoreItem xmlns:ds="http://schemas.openxmlformats.org/officeDocument/2006/customXml" ds:itemID="{14F6B10B-0D62-4068-A4AD-12CA03B9C3AD}"/>
</file>

<file path=customXml/itemProps3.xml><?xml version="1.0" encoding="utf-8"?>
<ds:datastoreItem xmlns:ds="http://schemas.openxmlformats.org/officeDocument/2006/customXml" ds:itemID="{A86C81A3-87B6-411B-BB35-B95D976B77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win10</dc:creator>
  <cp:keywords/>
  <dc:description/>
  <cp:lastModifiedBy>KASIDIS RATTANAWIJIT</cp:lastModifiedBy>
  <cp:revision/>
  <dcterms:created xsi:type="dcterms:W3CDTF">2025-09-29T00:12:03Z</dcterms:created>
  <dcterms:modified xsi:type="dcterms:W3CDTF">2025-10-26T16:36:42Z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0x01010065742727E8167B4CB7294D9FFF28D882</vt:lpwstr>
  </property>
  <property fmtid="{D5CDD505-2E9C-101B-9397-08002B2CF9AE}" pid="3" name="MediaServiceImageTags">
    <vt:lpwstr/>
  </property>
</Properties>
</file>