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\Downloads\"/>
    </mc:Choice>
  </mc:AlternateContent>
  <xr:revisionPtr revIDLastSave="0" documentId="13_ncr:1_{E72C84A2-5504-42EE-B110-C5785E98A60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FP" sheetId="1" r:id="rId1"/>
    <sheet name="1_" sheetId="2" r:id="rId2"/>
    <sheet name="2_" sheetId="3" r:id="rId3"/>
    <sheet name="3_" sheetId="4" r:id="rId4"/>
    <sheet name="4_" sheetId="5" r:id="rId5"/>
    <sheet name="5_" sheetId="6" r:id="rId6"/>
    <sheet name="6_" sheetId="7" r:id="rId7"/>
    <sheet name="7_" sheetId="8" r:id="rId8"/>
    <sheet name="8_" sheetId="9" r:id="rId9"/>
    <sheet name="9_" sheetId="10" r:id="rId10"/>
    <sheet name="10_" sheetId="11" r:id="rId11"/>
    <sheet name="DATA" sheetId="12" r:id="rId12"/>
    <sheet name="1" sheetId="13" r:id="rId13"/>
    <sheet name="2" sheetId="14" r:id="rId14"/>
    <sheet name="3" sheetId="15" r:id="rId15"/>
    <sheet name="4" sheetId="16" r:id="rId16"/>
    <sheet name="5" sheetId="17" r:id="rId17"/>
    <sheet name="6" sheetId="18" r:id="rId18"/>
    <sheet name="7" sheetId="19" r:id="rId19"/>
    <sheet name="8" sheetId="20" r:id="rId20"/>
    <sheet name="9" sheetId="21" r:id="rId21"/>
    <sheet name="10" sheetId="22" r:id="rId22"/>
    <sheet name="11" sheetId="23" r:id="rId23"/>
    <sheet name="12" sheetId="24" r:id="rId24"/>
    <sheet name="13" sheetId="25" r:id="rId25"/>
    <sheet name="14" sheetId="26" r:id="rId26"/>
    <sheet name="15" sheetId="27" r:id="rId27"/>
    <sheet name="GRAPH" sheetId="2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6" i="28" l="1"/>
  <c r="O109" i="28"/>
  <c r="O108" i="28"/>
  <c r="O107" i="28"/>
  <c r="O106" i="28"/>
  <c r="O105" i="28"/>
  <c r="O104" i="28"/>
  <c r="O103" i="28"/>
  <c r="O102" i="28"/>
  <c r="O101" i="28"/>
  <c r="O100" i="28"/>
  <c r="O99" i="28"/>
  <c r="O98" i="28"/>
  <c r="O110" i="28" s="1"/>
  <c r="O97" i="28"/>
  <c r="O96" i="28"/>
  <c r="B109" i="27"/>
  <c r="B108" i="27"/>
  <c r="B107" i="27"/>
  <c r="I29" i="27"/>
  <c r="C23" i="27"/>
  <c r="C22" i="27"/>
  <c r="H21" i="27"/>
  <c r="C21" i="27"/>
  <c r="C20" i="27"/>
  <c r="C19" i="27"/>
  <c r="C17" i="27"/>
  <c r="B17" i="27" s="1"/>
  <c r="C13" i="27"/>
  <c r="C12" i="27"/>
  <c r="C11" i="27"/>
  <c r="C10" i="27"/>
  <c r="A2" i="27"/>
  <c r="B107" i="26"/>
  <c r="I29" i="26"/>
  <c r="C23" i="26"/>
  <c r="C22" i="26"/>
  <c r="H21" i="26"/>
  <c r="C21" i="26"/>
  <c r="C20" i="26"/>
  <c r="C19" i="26"/>
  <c r="C17" i="26"/>
  <c r="B17" i="26"/>
  <c r="C13" i="26"/>
  <c r="C12" i="26"/>
  <c r="C11" i="26"/>
  <c r="C10" i="26"/>
  <c r="A2" i="26"/>
  <c r="B107" i="25"/>
  <c r="I29" i="25"/>
  <c r="C23" i="25"/>
  <c r="C22" i="25"/>
  <c r="H21" i="25"/>
  <c r="C21" i="25"/>
  <c r="C20" i="25"/>
  <c r="C19" i="25"/>
  <c r="C13" i="25"/>
  <c r="C12" i="25"/>
  <c r="C11" i="25"/>
  <c r="C10" i="25"/>
  <c r="A2" i="25"/>
  <c r="I29" i="24"/>
  <c r="C23" i="24"/>
  <c r="C22" i="24"/>
  <c r="H21" i="24"/>
  <c r="C21" i="24"/>
  <c r="C20" i="24"/>
  <c r="C19" i="24"/>
  <c r="C13" i="24"/>
  <c r="C12" i="24"/>
  <c r="C11" i="24"/>
  <c r="C10" i="24"/>
  <c r="A2" i="24"/>
  <c r="I29" i="23"/>
  <c r="C23" i="23"/>
  <c r="C22" i="23"/>
  <c r="H21" i="23"/>
  <c r="C21" i="23"/>
  <c r="C20" i="23"/>
  <c r="C19" i="23"/>
  <c r="C17" i="23"/>
  <c r="B17" i="23"/>
  <c r="C13" i="23"/>
  <c r="C12" i="23"/>
  <c r="C11" i="23"/>
  <c r="C10" i="23"/>
  <c r="L5" i="23"/>
  <c r="A2" i="23"/>
  <c r="I29" i="22"/>
  <c r="C23" i="22"/>
  <c r="C22" i="22"/>
  <c r="H21" i="22"/>
  <c r="C21" i="22"/>
  <c r="C20" i="22"/>
  <c r="C19" i="22"/>
  <c r="C17" i="22"/>
  <c r="B17" i="22" s="1"/>
  <c r="C13" i="22"/>
  <c r="C12" i="22"/>
  <c r="C11" i="22"/>
  <c r="C10" i="22"/>
  <c r="L5" i="22"/>
  <c r="A2" i="22"/>
  <c r="B107" i="21"/>
  <c r="I29" i="21"/>
  <c r="C23" i="21"/>
  <c r="C22" i="21"/>
  <c r="H21" i="21"/>
  <c r="C21" i="21"/>
  <c r="C20" i="21"/>
  <c r="C19" i="21"/>
  <c r="B17" i="21"/>
  <c r="C13" i="21"/>
  <c r="C12" i="21"/>
  <c r="C11" i="21"/>
  <c r="C10" i="21"/>
  <c r="L5" i="21"/>
  <c r="C17" i="21" s="1"/>
  <c r="A2" i="21"/>
  <c r="B107" i="20"/>
  <c r="I29" i="20"/>
  <c r="C23" i="20"/>
  <c r="C22" i="20"/>
  <c r="H21" i="20"/>
  <c r="C21" i="20"/>
  <c r="C20" i="20"/>
  <c r="C19" i="20"/>
  <c r="C13" i="20"/>
  <c r="C12" i="20"/>
  <c r="C11" i="20"/>
  <c r="C10" i="20"/>
  <c r="A2" i="20"/>
  <c r="B107" i="19"/>
  <c r="I29" i="19"/>
  <c r="C23" i="19"/>
  <c r="C22" i="19"/>
  <c r="H21" i="19"/>
  <c r="C21" i="19"/>
  <c r="C20" i="19"/>
  <c r="C19" i="19"/>
  <c r="C17" i="19"/>
  <c r="B17" i="19"/>
  <c r="C13" i="19"/>
  <c r="C12" i="19"/>
  <c r="C11" i="19"/>
  <c r="C10" i="19"/>
  <c r="A2" i="19"/>
  <c r="B107" i="18"/>
  <c r="B108" i="18" s="1"/>
  <c r="C23" i="18"/>
  <c r="C22" i="18"/>
  <c r="H21" i="18"/>
  <c r="C21" i="18"/>
  <c r="C20" i="18"/>
  <c r="C19" i="18"/>
  <c r="C13" i="18"/>
  <c r="C12" i="18"/>
  <c r="C11" i="18"/>
  <c r="C10" i="18"/>
  <c r="A2" i="18"/>
  <c r="B107" i="17"/>
  <c r="C23" i="17"/>
  <c r="C22" i="17"/>
  <c r="H21" i="17"/>
  <c r="C21" i="17"/>
  <c r="C20" i="17"/>
  <c r="C19" i="17"/>
  <c r="C13" i="17"/>
  <c r="C12" i="17"/>
  <c r="C11" i="17"/>
  <c r="C10" i="17"/>
  <c r="A2" i="17"/>
  <c r="B107" i="16"/>
  <c r="C23" i="16"/>
  <c r="C22" i="16"/>
  <c r="H21" i="16"/>
  <c r="C21" i="16"/>
  <c r="C20" i="16"/>
  <c r="C19" i="16"/>
  <c r="B15" i="16"/>
  <c r="C15" i="16" s="1"/>
  <c r="C13" i="16"/>
  <c r="C12" i="16"/>
  <c r="C11" i="16"/>
  <c r="C10" i="16"/>
  <c r="A2" i="16"/>
  <c r="B107" i="15"/>
  <c r="C22" i="15"/>
  <c r="H21" i="15"/>
  <c r="C21" i="15"/>
  <c r="C20" i="15"/>
  <c r="C19" i="15"/>
  <c r="B15" i="15"/>
  <c r="C15" i="15" s="1"/>
  <c r="C13" i="15"/>
  <c r="C12" i="15"/>
  <c r="C11" i="15"/>
  <c r="C10" i="15"/>
  <c r="A2" i="15"/>
  <c r="B107" i="14"/>
  <c r="C22" i="14"/>
  <c r="H21" i="14"/>
  <c r="C21" i="14"/>
  <c r="C20" i="14"/>
  <c r="C19" i="14"/>
  <c r="C13" i="14"/>
  <c r="C12" i="14"/>
  <c r="C11" i="14"/>
  <c r="C10" i="14"/>
  <c r="A2" i="14"/>
  <c r="B107" i="13"/>
  <c r="B78" i="13"/>
  <c r="C22" i="13"/>
  <c r="H21" i="13"/>
  <c r="C21" i="13"/>
  <c r="C20" i="13"/>
  <c r="C19" i="13"/>
  <c r="C13" i="13"/>
  <c r="C12" i="13"/>
  <c r="C11" i="13"/>
  <c r="C10" i="13"/>
  <c r="A2" i="13"/>
  <c r="C175" i="12"/>
  <c r="F174" i="12"/>
  <c r="F175" i="12" s="1"/>
  <c r="F171" i="12"/>
  <c r="D146" i="12"/>
  <c r="F145" i="12"/>
  <c r="F144" i="12"/>
  <c r="E143" i="12"/>
  <c r="B107" i="24" s="1"/>
  <c r="B108" i="24" s="1"/>
  <c r="E142" i="12"/>
  <c r="B107" i="23" s="1"/>
  <c r="B108" i="23" s="1"/>
  <c r="E141" i="12"/>
  <c r="B107" i="22" s="1"/>
  <c r="B108" i="22" s="1"/>
  <c r="B141" i="12"/>
  <c r="B140" i="12"/>
  <c r="D137" i="12"/>
  <c r="F132" i="12"/>
  <c r="D128" i="12"/>
  <c r="D126" i="12"/>
  <c r="D125" i="12"/>
  <c r="E124" i="12"/>
  <c r="D124" i="12"/>
  <c r="E122" i="12"/>
  <c r="E121" i="12"/>
  <c r="H140" i="12" s="1"/>
  <c r="B113" i="12"/>
  <c r="B123" i="12" s="1"/>
  <c r="I142" i="12" s="1"/>
  <c r="E120" i="28" s="1"/>
  <c r="E112" i="12"/>
  <c r="B134" i="12" s="1"/>
  <c r="D112" i="12"/>
  <c r="B139" i="12" s="1"/>
  <c r="C112" i="12"/>
  <c r="B112" i="12"/>
  <c r="B143" i="12" s="1"/>
  <c r="D110" i="12"/>
  <c r="E113" i="12" s="1"/>
  <c r="D109" i="12"/>
  <c r="D113" i="12" s="1"/>
  <c r="D108" i="12"/>
  <c r="C113" i="12" s="1"/>
  <c r="C127" i="12" s="1"/>
  <c r="D107" i="12"/>
  <c r="C103" i="12"/>
  <c r="L11" i="19" s="1"/>
  <c r="C101" i="12"/>
  <c r="F98" i="12"/>
  <c r="F92" i="12" s="1"/>
  <c r="C98" i="12"/>
  <c r="C96" i="12"/>
  <c r="L5" i="19" s="1"/>
  <c r="I95" i="12"/>
  <c r="F95" i="12"/>
  <c r="F96" i="12" s="1"/>
  <c r="L6" i="25" s="1"/>
  <c r="C18" i="25" s="1"/>
  <c r="B18" i="25" s="1"/>
  <c r="C72" i="12"/>
  <c r="C71" i="12"/>
  <c r="B15" i="23" s="1"/>
  <c r="C15" i="23" s="1"/>
  <c r="E70" i="12"/>
  <c r="E65" i="12"/>
  <c r="C66" i="12" s="1"/>
  <c r="C61" i="12"/>
  <c r="B15" i="14" s="1"/>
  <c r="C15" i="14" s="1"/>
  <c r="E60" i="12"/>
  <c r="E55" i="12"/>
  <c r="F31" i="12"/>
  <c r="E31" i="12"/>
  <c r="L25" i="12"/>
  <c r="L24" i="12"/>
  <c r="L23" i="12"/>
  <c r="G25" i="12" s="1"/>
  <c r="G23" i="12" s="1"/>
  <c r="G31" i="12" s="1"/>
  <c r="N8" i="12"/>
  <c r="N7" i="12"/>
  <c r="N6" i="12"/>
  <c r="N5" i="12"/>
  <c r="N10" i="12" s="1"/>
  <c r="K3" i="12" s="1"/>
  <c r="D21" i="12" s="1"/>
  <c r="E52" i="11"/>
  <c r="E49" i="11"/>
  <c r="E45" i="11"/>
  <c r="E54" i="11" s="1"/>
  <c r="G40" i="11"/>
  <c r="I4" i="11" s="1"/>
  <c r="G39" i="11"/>
  <c r="I3" i="11" s="1"/>
  <c r="U33" i="11"/>
  <c r="C28" i="11"/>
  <c r="C25" i="11"/>
  <c r="M21" i="11"/>
  <c r="I19" i="11"/>
  <c r="C17" i="11"/>
  <c r="E54" i="10"/>
  <c r="E52" i="10"/>
  <c r="E49" i="10"/>
  <c r="E45" i="10"/>
  <c r="G40" i="10"/>
  <c r="I4" i="10" s="1"/>
  <c r="G39" i="10"/>
  <c r="I3" i="10" s="1"/>
  <c r="U33" i="10"/>
  <c r="C25" i="10"/>
  <c r="U28" i="10" s="1"/>
  <c r="M21" i="10"/>
  <c r="I19" i="10"/>
  <c r="C17" i="10"/>
  <c r="E52" i="9"/>
  <c r="E49" i="9"/>
  <c r="E45" i="9"/>
  <c r="E54" i="9" s="1"/>
  <c r="G40" i="9"/>
  <c r="G39" i="9"/>
  <c r="I3" i="9" s="1"/>
  <c r="U33" i="9"/>
  <c r="C25" i="9"/>
  <c r="M21" i="9"/>
  <c r="I19" i="9"/>
  <c r="C17" i="9"/>
  <c r="I4" i="9"/>
  <c r="E54" i="8"/>
  <c r="E52" i="8"/>
  <c r="E49" i="8"/>
  <c r="E45" i="8"/>
  <c r="G40" i="8"/>
  <c r="I4" i="8" s="1"/>
  <c r="G39" i="8"/>
  <c r="U33" i="8"/>
  <c r="C25" i="8"/>
  <c r="U28" i="8" s="1"/>
  <c r="M21" i="8"/>
  <c r="I19" i="8"/>
  <c r="C17" i="8"/>
  <c r="I3" i="8"/>
  <c r="E52" i="7"/>
  <c r="E49" i="7"/>
  <c r="E45" i="7"/>
  <c r="G40" i="7"/>
  <c r="G39" i="7"/>
  <c r="U33" i="7"/>
  <c r="U28" i="7"/>
  <c r="C25" i="7"/>
  <c r="M21" i="7"/>
  <c r="I19" i="7"/>
  <c r="C17" i="7"/>
  <c r="U6" i="7"/>
  <c r="I4" i="7"/>
  <c r="I3" i="7"/>
  <c r="E52" i="6"/>
  <c r="E49" i="6"/>
  <c r="E45" i="6"/>
  <c r="G40" i="6"/>
  <c r="I4" i="6" s="1"/>
  <c r="G39" i="6"/>
  <c r="I3" i="6" s="1"/>
  <c r="U33" i="6"/>
  <c r="C25" i="6"/>
  <c r="U28" i="6" s="1"/>
  <c r="M21" i="6"/>
  <c r="I19" i="6"/>
  <c r="C17" i="6"/>
  <c r="U6" i="6"/>
  <c r="E52" i="5"/>
  <c r="E49" i="5"/>
  <c r="E45" i="5"/>
  <c r="E54" i="5" s="1"/>
  <c r="G40" i="5"/>
  <c r="I4" i="5" s="1"/>
  <c r="G39" i="5"/>
  <c r="I3" i="5" s="1"/>
  <c r="U33" i="5"/>
  <c r="U28" i="5"/>
  <c r="C25" i="5"/>
  <c r="M21" i="5"/>
  <c r="I19" i="5"/>
  <c r="C17" i="5"/>
  <c r="U6" i="5"/>
  <c r="E52" i="4"/>
  <c r="E49" i="4"/>
  <c r="E54" i="4" s="1"/>
  <c r="E45" i="4"/>
  <c r="H40" i="4"/>
  <c r="G40" i="4"/>
  <c r="I4" i="4" s="1"/>
  <c r="H39" i="4"/>
  <c r="G39" i="4"/>
  <c r="I3" i="4" s="1"/>
  <c r="U33" i="4"/>
  <c r="C27" i="4"/>
  <c r="C28" i="4" s="1"/>
  <c r="C30" i="4" s="1"/>
  <c r="C25" i="4"/>
  <c r="U28" i="4" s="1"/>
  <c r="M21" i="4"/>
  <c r="I19" i="4"/>
  <c r="C17" i="4"/>
  <c r="C9" i="4"/>
  <c r="C9" i="5" s="1"/>
  <c r="E52" i="3"/>
  <c r="E49" i="3"/>
  <c r="E54" i="3" s="1"/>
  <c r="E45" i="3"/>
  <c r="H40" i="3"/>
  <c r="G40" i="3"/>
  <c r="I4" i="3" s="1"/>
  <c r="H39" i="3"/>
  <c r="G39" i="3"/>
  <c r="I3" i="3" s="1"/>
  <c r="U33" i="3"/>
  <c r="C30" i="3"/>
  <c r="U23" i="3" s="1"/>
  <c r="U28" i="3"/>
  <c r="C28" i="3"/>
  <c r="C27" i="3"/>
  <c r="C25" i="3"/>
  <c r="U6" i="3" s="1"/>
  <c r="M21" i="3"/>
  <c r="I19" i="3"/>
  <c r="C17" i="3"/>
  <c r="C9" i="3"/>
  <c r="E52" i="2"/>
  <c r="E49" i="2"/>
  <c r="E45" i="2"/>
  <c r="E54" i="2" s="1"/>
  <c r="G40" i="2"/>
  <c r="G39" i="2"/>
  <c r="U33" i="2"/>
  <c r="U28" i="2"/>
  <c r="C28" i="2"/>
  <c r="C30" i="2" s="1"/>
  <c r="M21" i="2"/>
  <c r="I19" i="2"/>
  <c r="C17" i="2"/>
  <c r="U10" i="2"/>
  <c r="I9" i="2"/>
  <c r="I7" i="2"/>
  <c r="C10" i="3" s="1"/>
  <c r="F7" i="2"/>
  <c r="U6" i="2"/>
  <c r="F6" i="2"/>
  <c r="C4" i="2"/>
  <c r="U5" i="2" s="1"/>
  <c r="U7" i="2" s="1"/>
  <c r="F3" i="2"/>
  <c r="L4" i="2" s="1"/>
  <c r="L3" i="2" s="1"/>
  <c r="E102" i="1"/>
  <c r="E101" i="1"/>
  <c r="E98" i="1"/>
  <c r="E96" i="1"/>
  <c r="E91" i="1"/>
  <c r="E86" i="1"/>
  <c r="E74" i="1"/>
  <c r="E70" i="1"/>
  <c r="E66" i="1"/>
  <c r="E76" i="1" s="1"/>
  <c r="AB59" i="1"/>
  <c r="U57" i="1"/>
  <c r="AD55" i="1"/>
  <c r="AB55" i="1"/>
  <c r="F54" i="1"/>
  <c r="E52" i="1"/>
  <c r="E54" i="1" s="1"/>
  <c r="G54" i="1" s="1"/>
  <c r="E49" i="1"/>
  <c r="M46" i="1"/>
  <c r="E45" i="1"/>
  <c r="AE44" i="1"/>
  <c r="AF44" i="1" s="1"/>
  <c r="AG44" i="1" s="1"/>
  <c r="AH44" i="1" s="1"/>
  <c r="AI44" i="1" s="1"/>
  <c r="AJ44" i="1" s="1"/>
  <c r="AK44" i="1" s="1"/>
  <c r="AD44" i="1"/>
  <c r="AC44" i="1"/>
  <c r="M44" i="1"/>
  <c r="AE43" i="1"/>
  <c r="AF43" i="1" s="1"/>
  <c r="AG43" i="1" s="1"/>
  <c r="AH43" i="1" s="1"/>
  <c r="AI43" i="1" s="1"/>
  <c r="AJ43" i="1" s="1"/>
  <c r="AK43" i="1" s="1"/>
  <c r="AD43" i="1"/>
  <c r="AC43" i="1"/>
  <c r="U42" i="1"/>
  <c r="U43" i="1" s="1"/>
  <c r="M42" i="1"/>
  <c r="U41" i="1"/>
  <c r="AD40" i="1"/>
  <c r="AE40" i="1" s="1"/>
  <c r="AF40" i="1" s="1"/>
  <c r="AG40" i="1" s="1"/>
  <c r="AH40" i="1" s="1"/>
  <c r="AI40" i="1" s="1"/>
  <c r="AJ40" i="1" s="1"/>
  <c r="AK40" i="1" s="1"/>
  <c r="AC40" i="1"/>
  <c r="AC49" i="1" s="1"/>
  <c r="AC37" i="1"/>
  <c r="F7" i="3" s="1"/>
  <c r="AB37" i="1"/>
  <c r="AB36" i="1"/>
  <c r="AC36" i="1" s="1"/>
  <c r="AC35" i="1"/>
  <c r="AD35" i="1" s="1"/>
  <c r="AB35" i="1"/>
  <c r="F5" i="2" s="1"/>
  <c r="C34" i="1"/>
  <c r="AC33" i="1"/>
  <c r="AC34" i="1" s="1"/>
  <c r="F4" i="3" s="1"/>
  <c r="AB33" i="1"/>
  <c r="AB34" i="1" s="1"/>
  <c r="F4" i="2" s="1"/>
  <c r="F8" i="2" s="1"/>
  <c r="U33" i="1"/>
  <c r="AD30" i="1"/>
  <c r="AE30" i="1" s="1"/>
  <c r="AF30" i="1" s="1"/>
  <c r="AG30" i="1" s="1"/>
  <c r="AH30" i="1" s="1"/>
  <c r="AI30" i="1" s="1"/>
  <c r="AJ30" i="1" s="1"/>
  <c r="AK30" i="1" s="1"/>
  <c r="AC30" i="1"/>
  <c r="AB30" i="1"/>
  <c r="C30" i="1"/>
  <c r="U28" i="1"/>
  <c r="AB26" i="1"/>
  <c r="AB27" i="1" s="1"/>
  <c r="U23" i="1"/>
  <c r="M21" i="1"/>
  <c r="I19" i="1"/>
  <c r="C19" i="1"/>
  <c r="C33" i="1" s="1"/>
  <c r="C36" i="1" s="1"/>
  <c r="C17" i="1"/>
  <c r="I15" i="1"/>
  <c r="C12" i="1"/>
  <c r="U46" i="1" s="1"/>
  <c r="AL10" i="1"/>
  <c r="AK10" i="1"/>
  <c r="AJ10" i="1"/>
  <c r="AI10" i="1"/>
  <c r="U10" i="1"/>
  <c r="AR9" i="1"/>
  <c r="AR10" i="1" s="1"/>
  <c r="AQ9" i="1"/>
  <c r="AQ10" i="1" s="1"/>
  <c r="AP9" i="1"/>
  <c r="AP10" i="1" s="1"/>
  <c r="AO9" i="1"/>
  <c r="AO10" i="1" s="1"/>
  <c r="AO12" i="1" s="1"/>
  <c r="C11" i="8" s="1"/>
  <c r="C11" i="9" s="1"/>
  <c r="C11" i="10" s="1"/>
  <c r="C11" i="11" s="1"/>
  <c r="AN9" i="1"/>
  <c r="AN10" i="1" s="1"/>
  <c r="AN12" i="1" s="1"/>
  <c r="AM9" i="1"/>
  <c r="AM10" i="1" s="1"/>
  <c r="AM12" i="1" s="1"/>
  <c r="C11" i="6" s="1"/>
  <c r="AL9" i="1"/>
  <c r="AK9" i="1"/>
  <c r="AJ9" i="1"/>
  <c r="AI9" i="1"/>
  <c r="I9" i="1"/>
  <c r="I22" i="1" s="1"/>
  <c r="F8" i="1"/>
  <c r="F76" i="1" s="1"/>
  <c r="AB7" i="1"/>
  <c r="AB8" i="1" s="1"/>
  <c r="I7" i="1"/>
  <c r="AB6" i="1"/>
  <c r="AC6" i="1" s="1"/>
  <c r="U6" i="1"/>
  <c r="AI5" i="1"/>
  <c r="AI12" i="1" s="1"/>
  <c r="C11" i="2" s="1"/>
  <c r="C12" i="2" s="1"/>
  <c r="AH5" i="1"/>
  <c r="AC5" i="1"/>
  <c r="AB5" i="1"/>
  <c r="AD5" i="1" s="1"/>
  <c r="AL4" i="1"/>
  <c r="AL5" i="1" s="1"/>
  <c r="AL12" i="1" s="1"/>
  <c r="AK4" i="1"/>
  <c r="AK5" i="1" s="1"/>
  <c r="AK12" i="1" s="1"/>
  <c r="C11" i="4" s="1"/>
  <c r="AJ4" i="1"/>
  <c r="AJ5" i="1" s="1"/>
  <c r="AJ12" i="1" s="1"/>
  <c r="AI4" i="1"/>
  <c r="AH4" i="1"/>
  <c r="AB4" i="1"/>
  <c r="AD4" i="1" s="1"/>
  <c r="L4" i="1"/>
  <c r="C4" i="1"/>
  <c r="U15" i="1" s="1"/>
  <c r="AE3" i="1"/>
  <c r="AD3" i="1"/>
  <c r="AC3" i="1"/>
  <c r="L3" i="1"/>
  <c r="E78" i="1" l="1"/>
  <c r="G76" i="1"/>
  <c r="AJ14" i="1"/>
  <c r="C11" i="3"/>
  <c r="U23" i="4"/>
  <c r="C34" i="4"/>
  <c r="AL14" i="1"/>
  <c r="C11" i="5"/>
  <c r="AE5" i="1"/>
  <c r="Y6" i="1"/>
  <c r="U16" i="1"/>
  <c r="U17" i="1" s="1"/>
  <c r="U47" i="1"/>
  <c r="AD36" i="1"/>
  <c r="F6" i="3"/>
  <c r="U46" i="2"/>
  <c r="C19" i="2"/>
  <c r="U48" i="1"/>
  <c r="N6" i="2"/>
  <c r="P6" i="2" s="1"/>
  <c r="N7" i="2"/>
  <c r="P7" i="2" s="1"/>
  <c r="AN14" i="1"/>
  <c r="C11" i="7"/>
  <c r="AB9" i="1"/>
  <c r="AD8" i="1"/>
  <c r="AC8" i="1"/>
  <c r="AE8" i="1" s="1"/>
  <c r="C12" i="3"/>
  <c r="U46" i="3" s="1"/>
  <c r="AC50" i="1"/>
  <c r="AC51" i="1"/>
  <c r="B15" i="19"/>
  <c r="C15" i="19" s="1"/>
  <c r="B15" i="17"/>
  <c r="C15" i="17" s="1"/>
  <c r="B15" i="18"/>
  <c r="C15" i="18" s="1"/>
  <c r="C67" i="12"/>
  <c r="AB28" i="1"/>
  <c r="AB29" i="1" s="1"/>
  <c r="I24" i="1"/>
  <c r="U11" i="1"/>
  <c r="U12" i="1" s="1"/>
  <c r="U34" i="2"/>
  <c r="U35" i="2" s="1"/>
  <c r="U29" i="2"/>
  <c r="U57" i="2"/>
  <c r="F54" i="2"/>
  <c r="G54" i="2" s="1"/>
  <c r="F10" i="2"/>
  <c r="U42" i="2"/>
  <c r="E13" i="12"/>
  <c r="E5" i="12"/>
  <c r="E17" i="12"/>
  <c r="E10" i="12"/>
  <c r="E9" i="12"/>
  <c r="E3" i="12"/>
  <c r="E8" i="12"/>
  <c r="E14" i="12"/>
  <c r="E7" i="12"/>
  <c r="E6" i="12"/>
  <c r="E4" i="12"/>
  <c r="E16" i="12"/>
  <c r="E15" i="12"/>
  <c r="E12" i="12"/>
  <c r="E11" i="12"/>
  <c r="F98" i="1"/>
  <c r="F101" i="1" s="1"/>
  <c r="G101" i="1" s="1"/>
  <c r="F78" i="1"/>
  <c r="C34" i="2"/>
  <c r="U23" i="2"/>
  <c r="C9" i="6"/>
  <c r="F5" i="4"/>
  <c r="AE35" i="1"/>
  <c r="E54" i="6"/>
  <c r="B120" i="12"/>
  <c r="I139" i="12" s="1"/>
  <c r="Y7" i="1"/>
  <c r="D160" i="12"/>
  <c r="G31" i="23" s="1"/>
  <c r="C159" i="12"/>
  <c r="G30" i="22" s="1"/>
  <c r="B158" i="12"/>
  <c r="G29" i="21" s="1"/>
  <c r="E161" i="12"/>
  <c r="G32" i="24" s="1"/>
  <c r="F5" i="3"/>
  <c r="U24" i="1"/>
  <c r="U25" i="1" s="1"/>
  <c r="B159" i="12"/>
  <c r="G29" i="22" s="1"/>
  <c r="C160" i="12"/>
  <c r="G30" i="23" s="1"/>
  <c r="E162" i="12"/>
  <c r="G32" i="25" s="1"/>
  <c r="D161" i="12"/>
  <c r="G31" i="24" s="1"/>
  <c r="U5" i="1"/>
  <c r="U7" i="1" s="1"/>
  <c r="AC7" i="1"/>
  <c r="C27" i="5"/>
  <c r="H141" i="12"/>
  <c r="AD7" i="1"/>
  <c r="U15" i="2"/>
  <c r="U41" i="2"/>
  <c r="I23" i="19"/>
  <c r="C99" i="12"/>
  <c r="I23" i="22"/>
  <c r="F99" i="12"/>
  <c r="C162" i="12"/>
  <c r="G30" i="25" s="1"/>
  <c r="E164" i="12"/>
  <c r="G32" i="27" s="1"/>
  <c r="B161" i="12"/>
  <c r="G29" i="24" s="1"/>
  <c r="D163" i="12"/>
  <c r="G31" i="26" s="1"/>
  <c r="AC26" i="1"/>
  <c r="AD37" i="1"/>
  <c r="U6" i="8"/>
  <c r="L11" i="20"/>
  <c r="L11" i="21" s="1"/>
  <c r="L12" i="22" s="1"/>
  <c r="L12" i="23" s="1"/>
  <c r="L12" i="24" s="1"/>
  <c r="B108" i="25"/>
  <c r="B108" i="26"/>
  <c r="B109" i="26" s="1"/>
  <c r="C125" i="12"/>
  <c r="C119" i="12"/>
  <c r="C124" i="12"/>
  <c r="C117" i="12"/>
  <c r="C123" i="12"/>
  <c r="C122" i="12"/>
  <c r="C115" i="12"/>
  <c r="N134" i="12" s="1"/>
  <c r="C128" i="12"/>
  <c r="C114" i="12"/>
  <c r="N142" i="12" s="1"/>
  <c r="F129" i="28" s="1"/>
  <c r="C121" i="12"/>
  <c r="C120" i="12"/>
  <c r="C126" i="12"/>
  <c r="C118" i="12"/>
  <c r="U29" i="1"/>
  <c r="U30" i="1" s="1"/>
  <c r="D117" i="12"/>
  <c r="D123" i="12"/>
  <c r="D116" i="12"/>
  <c r="D122" i="12"/>
  <c r="G164" i="12" s="1"/>
  <c r="G34" i="27" s="1"/>
  <c r="D115" i="12"/>
  <c r="D121" i="12"/>
  <c r="D120" i="12"/>
  <c r="D127" i="12"/>
  <c r="D119" i="12"/>
  <c r="C34" i="3"/>
  <c r="E126" i="12"/>
  <c r="E120" i="12"/>
  <c r="H139" i="12" s="1"/>
  <c r="J139" i="12" s="1"/>
  <c r="F161" i="12" s="1"/>
  <c r="G33" i="24" s="1"/>
  <c r="E114" i="12"/>
  <c r="H133" i="12" s="1"/>
  <c r="E123" i="12"/>
  <c r="E116" i="12"/>
  <c r="E115" i="12"/>
  <c r="E128" i="12"/>
  <c r="E127" i="12"/>
  <c r="B164" i="12" s="1"/>
  <c r="G29" i="27" s="1"/>
  <c r="E125" i="12"/>
  <c r="E118" i="12"/>
  <c r="B133" i="12"/>
  <c r="N6" i="1"/>
  <c r="AD33" i="1"/>
  <c r="E54" i="7"/>
  <c r="U6" i="10"/>
  <c r="G32" i="12"/>
  <c r="D2" i="13"/>
  <c r="B15" i="13"/>
  <c r="C15" i="13" s="1"/>
  <c r="C56" i="12"/>
  <c r="C57" i="12" s="1"/>
  <c r="D132" i="12"/>
  <c r="B136" i="12"/>
  <c r="B135" i="12"/>
  <c r="U28" i="9"/>
  <c r="U6" i="9"/>
  <c r="B127" i="12"/>
  <c r="B121" i="12"/>
  <c r="I140" i="12" s="1"/>
  <c r="J140" i="12" s="1"/>
  <c r="F162" i="12" s="1"/>
  <c r="G33" i="25" s="1"/>
  <c r="B115" i="12"/>
  <c r="B124" i="12"/>
  <c r="B117" i="12"/>
  <c r="B122" i="12"/>
  <c r="I141" i="12" s="1"/>
  <c r="B128" i="12"/>
  <c r="B114" i="12"/>
  <c r="B126" i="12"/>
  <c r="B119" i="12"/>
  <c r="B125" i="12"/>
  <c r="E32" i="12"/>
  <c r="B2" i="13"/>
  <c r="D114" i="12"/>
  <c r="H31" i="12"/>
  <c r="C2" i="13"/>
  <c r="B116" i="12"/>
  <c r="C116" i="12"/>
  <c r="N135" i="12" s="1"/>
  <c r="F127" i="28" s="1"/>
  <c r="U30" i="2"/>
  <c r="AC4" i="1"/>
  <c r="AE4" i="1" s="1"/>
  <c r="AD6" i="1"/>
  <c r="AE6" i="1" s="1"/>
  <c r="F3" i="3"/>
  <c r="E117" i="12"/>
  <c r="U34" i="1"/>
  <c r="U35" i="1" s="1"/>
  <c r="B118" i="12"/>
  <c r="U6" i="4"/>
  <c r="N7" i="1"/>
  <c r="P7" i="1" s="1"/>
  <c r="D118" i="12"/>
  <c r="E119" i="12"/>
  <c r="L6" i="22"/>
  <c r="C18" i="22" s="1"/>
  <c r="B18" i="22" s="1"/>
  <c r="B15" i="21"/>
  <c r="C15" i="21" s="1"/>
  <c r="B15" i="22"/>
  <c r="C15" i="22" s="1"/>
  <c r="C62" i="12"/>
  <c r="U28" i="11"/>
  <c r="U6" i="11"/>
  <c r="B15" i="27"/>
  <c r="C15" i="27" s="1"/>
  <c r="B15" i="24"/>
  <c r="C15" i="24" s="1"/>
  <c r="B15" i="26"/>
  <c r="C15" i="26" s="1"/>
  <c r="B15" i="20"/>
  <c r="C15" i="20" s="1"/>
  <c r="B15" i="25"/>
  <c r="C15" i="25" s="1"/>
  <c r="L6" i="27"/>
  <c r="C18" i="27" s="1"/>
  <c r="B18" i="27" s="1"/>
  <c r="L6" i="24"/>
  <c r="C18" i="24" s="1"/>
  <c r="B18" i="24" s="1"/>
  <c r="L6" i="23"/>
  <c r="C18" i="23" s="1"/>
  <c r="B18" i="23" s="1"/>
  <c r="L6" i="26"/>
  <c r="C18" i="26" s="1"/>
  <c r="B18" i="26" s="1"/>
  <c r="C30" i="11"/>
  <c r="E132" i="12"/>
  <c r="H138" i="12"/>
  <c r="B142" i="12"/>
  <c r="B109" i="25"/>
  <c r="B138" i="12"/>
  <c r="F103" i="12"/>
  <c r="L5" i="24"/>
  <c r="C17" i="24" s="1"/>
  <c r="B17" i="24" s="1"/>
  <c r="L5" i="25"/>
  <c r="C17" i="25" s="1"/>
  <c r="B17" i="25" s="1"/>
  <c r="L5" i="20"/>
  <c r="C17" i="20" s="1"/>
  <c r="B17" i="20" s="1"/>
  <c r="I138" i="12" l="1"/>
  <c r="J164" i="12"/>
  <c r="G37" i="27" s="1"/>
  <c r="F7" i="4"/>
  <c r="AE37" i="1"/>
  <c r="C33" i="2"/>
  <c r="C36" i="2" s="1"/>
  <c r="U24" i="2"/>
  <c r="Y7" i="2"/>
  <c r="AE33" i="1"/>
  <c r="F3" i="4"/>
  <c r="AD34" i="1"/>
  <c r="F4" i="4" s="1"/>
  <c r="N138" i="12"/>
  <c r="D157" i="12"/>
  <c r="G31" i="20" s="1"/>
  <c r="H137" i="12"/>
  <c r="E158" i="12"/>
  <c r="G32" i="21" s="1"/>
  <c r="C156" i="12"/>
  <c r="G30" i="19" s="1"/>
  <c r="B155" i="12"/>
  <c r="G29" i="18" s="1"/>
  <c r="AC9" i="1"/>
  <c r="AE9" i="1" s="1"/>
  <c r="AD9" i="1"/>
  <c r="AB10" i="1"/>
  <c r="AE36" i="1"/>
  <c r="F6" i="4"/>
  <c r="B162" i="12"/>
  <c r="G29" i="25" s="1"/>
  <c r="D164" i="12"/>
  <c r="G31" i="27" s="1"/>
  <c r="C163" i="12"/>
  <c r="G30" i="26" s="1"/>
  <c r="F8" i="3"/>
  <c r="I7" i="3"/>
  <c r="L4" i="3"/>
  <c r="L3" i="3" s="1"/>
  <c r="L162" i="12"/>
  <c r="G39" i="25" s="1"/>
  <c r="K161" i="12"/>
  <c r="G38" i="24" s="1"/>
  <c r="M139" i="12"/>
  <c r="M134" i="12"/>
  <c r="O134" i="12" s="1"/>
  <c r="M163" i="12" s="1"/>
  <c r="G40" i="26" s="1"/>
  <c r="J160" i="12"/>
  <c r="G37" i="23" s="1"/>
  <c r="I134" i="12"/>
  <c r="E155" i="12"/>
  <c r="G32" i="18" s="1"/>
  <c r="D154" i="12"/>
  <c r="G31" i="17" s="1"/>
  <c r="B152" i="12"/>
  <c r="G29" i="15" s="1"/>
  <c r="H134" i="12"/>
  <c r="C153" i="12"/>
  <c r="G30" i="16" s="1"/>
  <c r="G98" i="1"/>
  <c r="U56" i="1"/>
  <c r="U58" i="1" s="1"/>
  <c r="I25" i="1"/>
  <c r="Y8" i="1"/>
  <c r="AC27" i="1"/>
  <c r="AD26" i="1"/>
  <c r="D162" i="12"/>
  <c r="G31" i="25" s="1"/>
  <c r="C161" i="12"/>
  <c r="G30" i="24" s="1"/>
  <c r="G43" i="24" s="1"/>
  <c r="B78" i="24" s="1"/>
  <c r="B160" i="12"/>
  <c r="G29" i="23" s="1"/>
  <c r="E163" i="12"/>
  <c r="G32" i="26" s="1"/>
  <c r="C164" i="12"/>
  <c r="G30" i="27" s="1"/>
  <c r="B163" i="12"/>
  <c r="G29" i="26" s="1"/>
  <c r="L164" i="12"/>
  <c r="G39" i="27" s="1"/>
  <c r="J162" i="12"/>
  <c r="G37" i="25" s="1"/>
  <c r="I136" i="12"/>
  <c r="K163" i="12"/>
  <c r="G38" i="26" s="1"/>
  <c r="E156" i="12"/>
  <c r="G32" i="19" s="1"/>
  <c r="D155" i="12"/>
  <c r="G31" i="18" s="1"/>
  <c r="C154" i="12"/>
  <c r="G30" i="17" s="1"/>
  <c r="B153" i="12"/>
  <c r="G29" i="16" s="1"/>
  <c r="G38" i="16" s="1"/>
  <c r="B78" i="16" s="1"/>
  <c r="H135" i="12"/>
  <c r="I30" i="27"/>
  <c r="I30" i="24"/>
  <c r="I30" i="22"/>
  <c r="I30" i="25"/>
  <c r="L13" i="22"/>
  <c r="L13" i="23" s="1"/>
  <c r="L13" i="24" s="1"/>
  <c r="L13" i="25" s="1"/>
  <c r="L13" i="26" s="1"/>
  <c r="L13" i="27" s="1"/>
  <c r="I30" i="26"/>
  <c r="I30" i="23"/>
  <c r="G161" i="12"/>
  <c r="G34" i="24" s="1"/>
  <c r="I163" i="12"/>
  <c r="G36" i="26" s="1"/>
  <c r="H162" i="12"/>
  <c r="G35" i="25" s="1"/>
  <c r="O142" i="12"/>
  <c r="D129" i="28" s="1"/>
  <c r="N8" i="2"/>
  <c r="F5" i="5"/>
  <c r="AF35" i="1"/>
  <c r="H163" i="12"/>
  <c r="G35" i="26" s="1"/>
  <c r="I164" i="12"/>
  <c r="G36" i="27" s="1"/>
  <c r="G162" i="12"/>
  <c r="G34" i="25" s="1"/>
  <c r="U43" i="2"/>
  <c r="G3" i="12"/>
  <c r="E18" i="12"/>
  <c r="H164" i="12"/>
  <c r="G35" i="27" s="1"/>
  <c r="G163" i="12"/>
  <c r="G34" i="26" s="1"/>
  <c r="D156" i="12"/>
  <c r="G31" i="19" s="1"/>
  <c r="C155" i="12"/>
  <c r="G30" i="18" s="1"/>
  <c r="B154" i="12"/>
  <c r="G29" i="17" s="1"/>
  <c r="H136" i="12"/>
  <c r="J136" i="12" s="1"/>
  <c r="F158" i="12" s="1"/>
  <c r="E157" i="12"/>
  <c r="G32" i="20" s="1"/>
  <c r="E154" i="12"/>
  <c r="G32" i="17" s="1"/>
  <c r="C152" i="12"/>
  <c r="G30" i="15" s="1"/>
  <c r="D153" i="12"/>
  <c r="G31" i="16" s="1"/>
  <c r="B151" i="12"/>
  <c r="G29" i="14" s="1"/>
  <c r="I3" i="12"/>
  <c r="K164" i="12"/>
  <c r="G38" i="27" s="1"/>
  <c r="I137" i="12"/>
  <c r="J163" i="12"/>
  <c r="G37" i="26" s="1"/>
  <c r="P6" i="1"/>
  <c r="N8" i="1"/>
  <c r="M138" i="12"/>
  <c r="O138" i="12" s="1"/>
  <c r="N163" i="12" s="1"/>
  <c r="G41" i="26" s="1"/>
  <c r="M133" i="12"/>
  <c r="M142" i="12"/>
  <c r="I133" i="12"/>
  <c r="J133" i="12" s="1"/>
  <c r="F155" i="12" s="1"/>
  <c r="G33" i="18" s="1"/>
  <c r="J159" i="12"/>
  <c r="G37" i="22" s="1"/>
  <c r="L161" i="12"/>
  <c r="G39" i="24" s="1"/>
  <c r="K160" i="12"/>
  <c r="G38" i="23" s="1"/>
  <c r="G156" i="12"/>
  <c r="G34" i="19" s="1"/>
  <c r="I158" i="12"/>
  <c r="G36" i="21" s="1"/>
  <c r="H157" i="12"/>
  <c r="G35" i="20" s="1"/>
  <c r="G33" i="12"/>
  <c r="D2" i="14"/>
  <c r="U25" i="2"/>
  <c r="C157" i="12"/>
  <c r="G30" i="20" s="1"/>
  <c r="B156" i="12"/>
  <c r="G29" i="19" s="1"/>
  <c r="E159" i="12"/>
  <c r="G32" i="22" s="1"/>
  <c r="D158" i="12"/>
  <c r="G31" i="21" s="1"/>
  <c r="H159" i="12"/>
  <c r="G35" i="22" s="1"/>
  <c r="G158" i="12"/>
  <c r="G34" i="21" s="1"/>
  <c r="I160" i="12"/>
  <c r="G36" i="23" s="1"/>
  <c r="J141" i="12"/>
  <c r="F163" i="12" s="1"/>
  <c r="G33" i="26" s="1"/>
  <c r="N139" i="12"/>
  <c r="F128" i="28" s="1"/>
  <c r="C138" i="28" s="1"/>
  <c r="C9" i="7"/>
  <c r="J138" i="12"/>
  <c r="F160" i="12" s="1"/>
  <c r="G33" i="23" s="1"/>
  <c r="I159" i="12"/>
  <c r="G36" i="22" s="1"/>
  <c r="H158" i="12"/>
  <c r="G35" i="21" s="1"/>
  <c r="G157" i="12"/>
  <c r="G34" i="20" s="1"/>
  <c r="H142" i="12"/>
  <c r="E33" i="12"/>
  <c r="F32" i="12"/>
  <c r="B2" i="14"/>
  <c r="C27" i="6"/>
  <c r="C28" i="5"/>
  <c r="C30" i="5" s="1"/>
  <c r="G78" i="1"/>
  <c r="E160" i="12"/>
  <c r="G32" i="23" s="1"/>
  <c r="B157" i="12"/>
  <c r="G29" i="20" s="1"/>
  <c r="C158" i="12"/>
  <c r="G30" i="21" s="1"/>
  <c r="D159" i="12"/>
  <c r="G31" i="22" s="1"/>
  <c r="K162" i="12"/>
  <c r="G38" i="25" s="1"/>
  <c r="J161" i="12"/>
  <c r="G37" i="24" s="1"/>
  <c r="L163" i="12"/>
  <c r="G39" i="26" s="1"/>
  <c r="M135" i="12"/>
  <c r="I135" i="12"/>
  <c r="I31" i="12"/>
  <c r="F2" i="13" s="1"/>
  <c r="E2" i="13"/>
  <c r="G160" i="12"/>
  <c r="G34" i="23" s="1"/>
  <c r="I162" i="12"/>
  <c r="G36" i="25" s="1"/>
  <c r="H161" i="12"/>
  <c r="G35" i="24" s="1"/>
  <c r="N133" i="12"/>
  <c r="U23" i="11"/>
  <c r="C34" i="11"/>
  <c r="N9" i="1"/>
  <c r="P9" i="1" s="1"/>
  <c r="G159" i="12"/>
  <c r="G34" i="22" s="1"/>
  <c r="I161" i="12"/>
  <c r="G36" i="24" s="1"/>
  <c r="H160" i="12"/>
  <c r="G35" i="23" s="1"/>
  <c r="AE7" i="1"/>
  <c r="C34" i="5" l="1"/>
  <c r="U23" i="5"/>
  <c r="I7" i="4"/>
  <c r="L4" i="4"/>
  <c r="L3" i="4" s="1"/>
  <c r="F8" i="4"/>
  <c r="G43" i="26"/>
  <c r="B78" i="26" s="1"/>
  <c r="E128" i="28"/>
  <c r="O139" i="12"/>
  <c r="N164" i="12" s="1"/>
  <c r="G41" i="27" s="1"/>
  <c r="AF33" i="1"/>
  <c r="AE34" i="1"/>
  <c r="F4" i="5" s="1"/>
  <c r="F3" i="5"/>
  <c r="C27" i="7"/>
  <c r="C28" i="6"/>
  <c r="C30" i="6" s="1"/>
  <c r="N7" i="3"/>
  <c r="P7" i="3" s="1"/>
  <c r="N6" i="3"/>
  <c r="P6" i="3" s="1"/>
  <c r="H32" i="12"/>
  <c r="C2" i="14"/>
  <c r="E34" i="12"/>
  <c r="B2" i="15"/>
  <c r="F33" i="12"/>
  <c r="D120" i="28"/>
  <c r="C135" i="28" s="1"/>
  <c r="J142" i="12"/>
  <c r="F164" i="12" s="1"/>
  <c r="G33" i="27" s="1"/>
  <c r="G43" i="27" s="1"/>
  <c r="B78" i="27" s="1"/>
  <c r="U41" i="3"/>
  <c r="U43" i="3" s="1"/>
  <c r="C10" i="4"/>
  <c r="I9" i="3"/>
  <c r="Y6" i="2"/>
  <c r="Y8" i="2" s="1"/>
  <c r="U47" i="2"/>
  <c r="U48" i="2" s="1"/>
  <c r="U16" i="2"/>
  <c r="U17" i="2" s="1"/>
  <c r="P8" i="2"/>
  <c r="N9" i="2"/>
  <c r="P9" i="2" s="1"/>
  <c r="G43" i="23"/>
  <c r="B78" i="23" s="1"/>
  <c r="F10" i="3"/>
  <c r="U42" i="3"/>
  <c r="U34" i="3"/>
  <c r="U35" i="3" s="1"/>
  <c r="U57" i="3"/>
  <c r="U29" i="3"/>
  <c r="U30" i="3" s="1"/>
  <c r="F54" i="3"/>
  <c r="G54" i="3" s="1"/>
  <c r="F7" i="5"/>
  <c r="AF37" i="1"/>
  <c r="AG37" i="1" s="1"/>
  <c r="AH37" i="1" s="1"/>
  <c r="AI37" i="1" s="1"/>
  <c r="AJ37" i="1" s="1"/>
  <c r="AK37" i="1" s="1"/>
  <c r="B23" i="28"/>
  <c r="B73" i="13"/>
  <c r="B61" i="13"/>
  <c r="B67" i="13" s="1"/>
  <c r="A91" i="13"/>
  <c r="A90" i="13" s="1"/>
  <c r="AE26" i="1"/>
  <c r="AD27" i="1"/>
  <c r="G43" i="25"/>
  <c r="B78" i="25" s="1"/>
  <c r="AC28" i="1"/>
  <c r="AC29" i="1" s="1"/>
  <c r="AF36" i="1"/>
  <c r="F6" i="5"/>
  <c r="AD10" i="1"/>
  <c r="AC10" i="1"/>
  <c r="AE10" i="1" s="1"/>
  <c r="AB11" i="1"/>
  <c r="P142" i="12"/>
  <c r="O164" i="12" s="1"/>
  <c r="G42" i="27" s="1"/>
  <c r="E129" i="28"/>
  <c r="L4" i="13"/>
  <c r="L7" i="13" s="1"/>
  <c r="J135" i="12"/>
  <c r="F157" i="12" s="1"/>
  <c r="E127" i="28"/>
  <c r="O135" i="12"/>
  <c r="M164" i="12" s="1"/>
  <c r="G40" i="27" s="1"/>
  <c r="P8" i="1"/>
  <c r="N10" i="1"/>
  <c r="P10" i="1" s="1"/>
  <c r="G38" i="17"/>
  <c r="B78" i="17" s="1"/>
  <c r="G38" i="18"/>
  <c r="B78" i="18" s="1"/>
  <c r="G34" i="12"/>
  <c r="D2" i="15"/>
  <c r="J134" i="12"/>
  <c r="F156" i="12" s="1"/>
  <c r="G33" i="19" s="1"/>
  <c r="G38" i="19" s="1"/>
  <c r="B78" i="19" s="1"/>
  <c r="O133" i="12"/>
  <c r="M162" i="12" s="1"/>
  <c r="G40" i="25" s="1"/>
  <c r="I4" i="12"/>
  <c r="F4" i="12"/>
  <c r="G38" i="15"/>
  <c r="B78" i="15" s="1"/>
  <c r="B78" i="14"/>
  <c r="J137" i="12"/>
  <c r="F159" i="12" s="1"/>
  <c r="G33" i="22" s="1"/>
  <c r="G43" i="22" s="1"/>
  <c r="B78" i="22" s="1"/>
  <c r="C9" i="8"/>
  <c r="F5" i="6"/>
  <c r="AG35" i="1"/>
  <c r="N9" i="3" l="1"/>
  <c r="P9" i="3" s="1"/>
  <c r="D2" i="16"/>
  <c r="G35" i="12"/>
  <c r="F6" i="6"/>
  <c r="AG36" i="1"/>
  <c r="C34" i="6"/>
  <c r="U23" i="6"/>
  <c r="F8" i="5"/>
  <c r="I7" i="5"/>
  <c r="L4" i="5"/>
  <c r="L3" i="5" s="1"/>
  <c r="C9" i="9"/>
  <c r="U57" i="4"/>
  <c r="U29" i="4"/>
  <c r="U30" i="4" s="1"/>
  <c r="F54" i="4"/>
  <c r="G54" i="4" s="1"/>
  <c r="F10" i="4"/>
  <c r="U42" i="4"/>
  <c r="U34" i="4"/>
  <c r="U35" i="4" s="1"/>
  <c r="G33" i="21"/>
  <c r="G38" i="21" s="1"/>
  <c r="B78" i="21" s="1"/>
  <c r="G33" i="20"/>
  <c r="G38" i="20" s="1"/>
  <c r="B78" i="20" s="1"/>
  <c r="B2" i="16"/>
  <c r="F34" i="12"/>
  <c r="E35" i="12"/>
  <c r="C27" i="8"/>
  <c r="C28" i="7"/>
  <c r="C30" i="7" s="1"/>
  <c r="AE27" i="1"/>
  <c r="AF26" i="1"/>
  <c r="C10" i="5"/>
  <c r="C12" i="4"/>
  <c r="U46" i="4" s="1"/>
  <c r="AG33" i="1"/>
  <c r="F3" i="6"/>
  <c r="AF34" i="1"/>
  <c r="F4" i="6" s="1"/>
  <c r="U41" i="4"/>
  <c r="U43" i="4" s="1"/>
  <c r="I9" i="4"/>
  <c r="N8" i="3"/>
  <c r="F5" i="7"/>
  <c r="AH35" i="1"/>
  <c r="C137" i="28"/>
  <c r="N6" i="4"/>
  <c r="P6" i="4" s="1"/>
  <c r="N7" i="4"/>
  <c r="P7" i="4" s="1"/>
  <c r="G4" i="12"/>
  <c r="B60" i="13"/>
  <c r="C17" i="13"/>
  <c r="B31" i="13"/>
  <c r="AD29" i="1"/>
  <c r="AD28" i="1"/>
  <c r="C93" i="13"/>
  <c r="E93" i="13" s="1"/>
  <c r="C2" i="15"/>
  <c r="H33" i="12"/>
  <c r="I32" i="12"/>
  <c r="F2" i="14" s="1"/>
  <c r="E2" i="14"/>
  <c r="N10" i="2"/>
  <c r="P10" i="2" s="1"/>
  <c r="F5" i="12"/>
  <c r="G5" i="12" s="1"/>
  <c r="L4" i="15" s="1"/>
  <c r="L7" i="15" s="1"/>
  <c r="I5" i="12"/>
  <c r="N11" i="1"/>
  <c r="AB12" i="1"/>
  <c r="AD11" i="1"/>
  <c r="AC11" i="1"/>
  <c r="AE11" i="1" s="1"/>
  <c r="AD12" i="1" l="1"/>
  <c r="AB13" i="1"/>
  <c r="AC12" i="1"/>
  <c r="AE12" i="1" s="1"/>
  <c r="N6" i="5"/>
  <c r="P6" i="5" s="1"/>
  <c r="N7" i="5"/>
  <c r="P7" i="5" s="1"/>
  <c r="P11" i="1"/>
  <c r="N12" i="1"/>
  <c r="P12" i="1" s="1"/>
  <c r="C9" i="10"/>
  <c r="U42" i="5"/>
  <c r="U34" i="5"/>
  <c r="U35" i="5" s="1"/>
  <c r="U29" i="5"/>
  <c r="U30" i="5" s="1"/>
  <c r="U57" i="5"/>
  <c r="F10" i="5"/>
  <c r="F54" i="5"/>
  <c r="G54" i="5" s="1"/>
  <c r="B31" i="15"/>
  <c r="B60" i="15"/>
  <c r="C17" i="15"/>
  <c r="L4" i="14"/>
  <c r="L7" i="14" s="1"/>
  <c r="F3" i="7"/>
  <c r="AH33" i="1"/>
  <c r="AG34" i="1"/>
  <c r="F4" i="7" s="1"/>
  <c r="F6" i="7"/>
  <c r="AH36" i="1"/>
  <c r="B2" i="17"/>
  <c r="E36" i="12"/>
  <c r="F35" i="12"/>
  <c r="N11" i="2"/>
  <c r="P11" i="2" s="1"/>
  <c r="C94" i="13"/>
  <c r="E94" i="13" s="1"/>
  <c r="D2" i="17"/>
  <c r="G36" i="12"/>
  <c r="B62" i="13"/>
  <c r="U41" i="28" s="1"/>
  <c r="B66" i="13"/>
  <c r="B68" i="13" s="1"/>
  <c r="U59" i="28" s="1"/>
  <c r="F6" i="12"/>
  <c r="I6" i="12"/>
  <c r="AE28" i="1"/>
  <c r="AE29" i="1" s="1"/>
  <c r="U41" i="5"/>
  <c r="I9" i="5"/>
  <c r="AF27" i="1"/>
  <c r="AG26" i="1"/>
  <c r="E2" i="15"/>
  <c r="I33" i="12"/>
  <c r="F2" i="15" s="1"/>
  <c r="C27" i="9"/>
  <c r="C28" i="8"/>
  <c r="C30" i="8" s="1"/>
  <c r="C2" i="16"/>
  <c r="H34" i="12"/>
  <c r="C95" i="13"/>
  <c r="E95" i="13" s="1"/>
  <c r="C96" i="13"/>
  <c r="E96" i="13" s="1"/>
  <c r="N12" i="2"/>
  <c r="P12" i="2" s="1"/>
  <c r="F5" i="8"/>
  <c r="AI35" i="1"/>
  <c r="B17" i="13"/>
  <c r="I7" i="6"/>
  <c r="F8" i="6"/>
  <c r="L4" i="6"/>
  <c r="L3" i="6" s="1"/>
  <c r="C10" i="6"/>
  <c r="C12" i="5"/>
  <c r="U46" i="5" s="1"/>
  <c r="B24" i="28"/>
  <c r="A91" i="14"/>
  <c r="A90" i="14" s="1"/>
  <c r="B73" i="14"/>
  <c r="B61" i="14"/>
  <c r="B67" i="14" s="1"/>
  <c r="N8" i="4"/>
  <c r="P8" i="4" s="1"/>
  <c r="U23" i="7"/>
  <c r="C34" i="7"/>
  <c r="P8" i="3"/>
  <c r="N10" i="3"/>
  <c r="G6" i="12" l="1"/>
  <c r="F5" i="9"/>
  <c r="AJ35" i="1"/>
  <c r="C98" i="13"/>
  <c r="E98" i="13" s="1"/>
  <c r="E2" i="16"/>
  <c r="I34" i="12"/>
  <c r="F2" i="16" s="1"/>
  <c r="D2" i="18"/>
  <c r="G37" i="12"/>
  <c r="C9" i="11"/>
  <c r="U23" i="8"/>
  <c r="C34" i="8"/>
  <c r="N9" i="5"/>
  <c r="P9" i="5" s="1"/>
  <c r="F10" i="6"/>
  <c r="U42" i="6"/>
  <c r="U34" i="6"/>
  <c r="U35" i="6" s="1"/>
  <c r="U29" i="6"/>
  <c r="U30" i="6" s="1"/>
  <c r="U57" i="6"/>
  <c r="F54" i="6"/>
  <c r="G54" i="6" s="1"/>
  <c r="C97" i="13"/>
  <c r="E97" i="13" s="1"/>
  <c r="N13" i="1"/>
  <c r="P13" i="1" s="1"/>
  <c r="B25" i="28"/>
  <c r="A91" i="15"/>
  <c r="A90" i="15" s="1"/>
  <c r="B61" i="15"/>
  <c r="B67" i="15" s="1"/>
  <c r="B73" i="15"/>
  <c r="C93" i="14"/>
  <c r="E93" i="14" s="1"/>
  <c r="F8" i="7"/>
  <c r="I7" i="7"/>
  <c r="L4" i="7"/>
  <c r="L3" i="7" s="1"/>
  <c r="U43" i="5"/>
  <c r="U41" i="6"/>
  <c r="U43" i="6" s="1"/>
  <c r="I9" i="6"/>
  <c r="C28" i="9"/>
  <c r="C30" i="9" s="1"/>
  <c r="C27" i="10"/>
  <c r="C28" i="10" s="1"/>
  <c r="C30" i="10" s="1"/>
  <c r="C2" i="17"/>
  <c r="H35" i="12"/>
  <c r="P14" i="1"/>
  <c r="N9" i="4"/>
  <c r="F6" i="8"/>
  <c r="AI36" i="1"/>
  <c r="C10" i="7"/>
  <c r="C12" i="6"/>
  <c r="U46" i="6" s="1"/>
  <c r="N8" i="5"/>
  <c r="N6" i="6"/>
  <c r="P6" i="6" s="1"/>
  <c r="B60" i="14"/>
  <c r="C17" i="14"/>
  <c r="B31" i="14"/>
  <c r="N13" i="2"/>
  <c r="P13" i="2" s="1"/>
  <c r="P14" i="2" s="1"/>
  <c r="I13" i="2" s="1"/>
  <c r="I15" i="2" s="1"/>
  <c r="I22" i="2" s="1"/>
  <c r="N12" i="3"/>
  <c r="P12" i="3" s="1"/>
  <c r="B17" i="15"/>
  <c r="AD13" i="1"/>
  <c r="AC13" i="1"/>
  <c r="AE13" i="1" s="1"/>
  <c r="AB14" i="1"/>
  <c r="B66" i="15"/>
  <c r="B68" i="15" s="1"/>
  <c r="U61" i="28" s="1"/>
  <c r="B62" i="15"/>
  <c r="U43" i="28" s="1"/>
  <c r="B2" i="18"/>
  <c r="E37" i="12"/>
  <c r="F36" i="12"/>
  <c r="AG27" i="1"/>
  <c r="AH26" i="1"/>
  <c r="AF28" i="1"/>
  <c r="AF29" i="1" s="1"/>
  <c r="F3" i="8"/>
  <c r="AI33" i="1"/>
  <c r="AH34" i="1"/>
  <c r="F4" i="8" s="1"/>
  <c r="P10" i="3"/>
  <c r="N11" i="3"/>
  <c r="P11" i="3" s="1"/>
  <c r="I7" i="12"/>
  <c r="F7" i="12"/>
  <c r="G7" i="12" s="1"/>
  <c r="L4" i="17" s="1"/>
  <c r="L7" i="17" s="1"/>
  <c r="L4" i="8" l="1"/>
  <c r="L3" i="8" s="1"/>
  <c r="I7" i="8"/>
  <c r="F8" i="8"/>
  <c r="N6" i="7"/>
  <c r="P6" i="7" s="1"/>
  <c r="N7" i="6"/>
  <c r="C2" i="18"/>
  <c r="H36" i="12"/>
  <c r="C94" i="14"/>
  <c r="P8" i="5"/>
  <c r="N10" i="5"/>
  <c r="P10" i="5" s="1"/>
  <c r="C10" i="8"/>
  <c r="C12" i="7"/>
  <c r="U46" i="7" s="1"/>
  <c r="F8" i="12"/>
  <c r="G8" i="12" s="1"/>
  <c r="L4" i="18" s="1"/>
  <c r="L7" i="18" s="1"/>
  <c r="I8" i="12"/>
  <c r="L4" i="16"/>
  <c r="L7" i="16" s="1"/>
  <c r="U34" i="7"/>
  <c r="U35" i="7" s="1"/>
  <c r="F54" i="7"/>
  <c r="G54" i="7" s="1"/>
  <c r="U57" i="7"/>
  <c r="U42" i="7"/>
  <c r="U29" i="7"/>
  <c r="U30" i="7" s="1"/>
  <c r="F10" i="7"/>
  <c r="AH27" i="1"/>
  <c r="AI26" i="1"/>
  <c r="AG28" i="1"/>
  <c r="AG29" i="1" s="1"/>
  <c r="B73" i="16"/>
  <c r="A91" i="16"/>
  <c r="A90" i="16" s="1"/>
  <c r="B26" i="28"/>
  <c r="B61" i="16"/>
  <c r="B67" i="16" s="1"/>
  <c r="AK35" i="1"/>
  <c r="F5" i="11" s="1"/>
  <c r="F5" i="10"/>
  <c r="C96" i="15"/>
  <c r="E96" i="15" s="1"/>
  <c r="C94" i="15"/>
  <c r="E94" i="15" s="1"/>
  <c r="C93" i="15"/>
  <c r="E93" i="15" s="1"/>
  <c r="C95" i="15"/>
  <c r="E95" i="15" s="1"/>
  <c r="U23" i="10"/>
  <c r="C34" i="10"/>
  <c r="AI34" i="1"/>
  <c r="F4" i="9" s="1"/>
  <c r="F3" i="9"/>
  <c r="AJ33" i="1"/>
  <c r="B2" i="19"/>
  <c r="E38" i="12"/>
  <c r="F37" i="12"/>
  <c r="G38" i="12"/>
  <c r="D2" i="19"/>
  <c r="F6" i="9"/>
  <c r="AJ36" i="1"/>
  <c r="AB15" i="1"/>
  <c r="AD14" i="1"/>
  <c r="AC14" i="1"/>
  <c r="AE14" i="1" s="1"/>
  <c r="C99" i="13"/>
  <c r="E99" i="13" s="1"/>
  <c r="B31" i="17"/>
  <c r="B60" i="17"/>
  <c r="C17" i="17"/>
  <c r="U11" i="2"/>
  <c r="U12" i="2" s="1"/>
  <c r="I24" i="2"/>
  <c r="U41" i="7"/>
  <c r="U43" i="7" s="1"/>
  <c r="I9" i="7"/>
  <c r="P9" i="4"/>
  <c r="N10" i="4"/>
  <c r="E2" i="17"/>
  <c r="I35" i="12"/>
  <c r="F2" i="17" s="1"/>
  <c r="C34" i="9"/>
  <c r="U23" i="9"/>
  <c r="N11" i="5"/>
  <c r="P11" i="5" s="1"/>
  <c r="B17" i="14"/>
  <c r="B66" i="14"/>
  <c r="B68" i="14" s="1"/>
  <c r="U60" i="28" s="1"/>
  <c r="B62" i="14"/>
  <c r="U42" i="28" s="1"/>
  <c r="N13" i="3"/>
  <c r="P13" i="3" s="1"/>
  <c r="P14" i="3" s="1"/>
  <c r="I13" i="3" s="1"/>
  <c r="I15" i="3" s="1"/>
  <c r="I22" i="3" s="1"/>
  <c r="U11" i="3" l="1"/>
  <c r="I24" i="3"/>
  <c r="P10" i="4"/>
  <c r="I7" i="9"/>
  <c r="L4" i="9"/>
  <c r="L3" i="9" s="1"/>
  <c r="F8" i="9"/>
  <c r="E94" i="14"/>
  <c r="C95" i="14"/>
  <c r="E95" i="14" s="1"/>
  <c r="AJ34" i="1"/>
  <c r="F4" i="10" s="1"/>
  <c r="AK33" i="1"/>
  <c r="F3" i="10"/>
  <c r="E2" i="18"/>
  <c r="I36" i="12"/>
  <c r="F2" i="18" s="1"/>
  <c r="P7" i="6"/>
  <c r="AH28" i="1"/>
  <c r="AH29" i="1"/>
  <c r="C98" i="15"/>
  <c r="E98" i="15" s="1"/>
  <c r="B66" i="17"/>
  <c r="AI27" i="1"/>
  <c r="AJ26" i="1"/>
  <c r="N8" i="6"/>
  <c r="C3" i="3"/>
  <c r="I25" i="2"/>
  <c r="U56" i="2"/>
  <c r="U58" i="2" s="1"/>
  <c r="B60" i="16"/>
  <c r="C17" i="16"/>
  <c r="B31" i="16"/>
  <c r="C97" i="15"/>
  <c r="G39" i="12"/>
  <c r="D2" i="20"/>
  <c r="AB16" i="1"/>
  <c r="AD15" i="1"/>
  <c r="AC15" i="1"/>
  <c r="AE15" i="1" s="1"/>
  <c r="C96" i="14"/>
  <c r="E96" i="14" s="1"/>
  <c r="C2" i="19"/>
  <c r="H37" i="12"/>
  <c r="U41" i="8"/>
  <c r="I9" i="8"/>
  <c r="B17" i="17"/>
  <c r="B60" i="18"/>
  <c r="C17" i="18"/>
  <c r="B31" i="18"/>
  <c r="F10" i="8"/>
  <c r="U57" i="8"/>
  <c r="U29" i="8"/>
  <c r="U30" i="8" s="1"/>
  <c r="U34" i="8"/>
  <c r="U35" i="8" s="1"/>
  <c r="F54" i="8"/>
  <c r="G54" i="8" s="1"/>
  <c r="U42" i="8"/>
  <c r="N13" i="5"/>
  <c r="P13" i="5" s="1"/>
  <c r="P14" i="5" s="1"/>
  <c r="I13" i="5" s="1"/>
  <c r="I15" i="5" s="1"/>
  <c r="I22" i="5" s="1"/>
  <c r="N6" i="8"/>
  <c r="P6" i="8" s="1"/>
  <c r="F9" i="12"/>
  <c r="G9" i="12" s="1"/>
  <c r="I9" i="12"/>
  <c r="AK36" i="1"/>
  <c r="F6" i="11" s="1"/>
  <c r="F6" i="10"/>
  <c r="N7" i="7"/>
  <c r="C10" i="9"/>
  <c r="C12" i="8"/>
  <c r="U46" i="8" s="1"/>
  <c r="F38" i="12"/>
  <c r="E39" i="12"/>
  <c r="B2" i="20"/>
  <c r="B73" i="17"/>
  <c r="B27" i="28"/>
  <c r="B61" i="17"/>
  <c r="B67" i="17" s="1"/>
  <c r="A91" i="17"/>
  <c r="A90" i="17" s="1"/>
  <c r="N12" i="5"/>
  <c r="P12" i="5" s="1"/>
  <c r="C93" i="16"/>
  <c r="E93" i="16" s="1"/>
  <c r="C94" i="16"/>
  <c r="E94" i="16" s="1"/>
  <c r="C100" i="13"/>
  <c r="E100" i="13" s="1"/>
  <c r="E101" i="13" s="1"/>
  <c r="N11" i="4"/>
  <c r="P11" i="4" s="1"/>
  <c r="U11" i="5" l="1"/>
  <c r="I24" i="5"/>
  <c r="AJ27" i="1"/>
  <c r="AK26" i="1"/>
  <c r="AK27" i="1" s="1"/>
  <c r="B68" i="17"/>
  <c r="U63" i="28" s="1"/>
  <c r="AI28" i="1"/>
  <c r="AI29" i="1" s="1"/>
  <c r="E2" i="19"/>
  <c r="I37" i="12"/>
  <c r="F2" i="19" s="1"/>
  <c r="E40" i="12"/>
  <c r="F39" i="12"/>
  <c r="B2" i="21"/>
  <c r="C2" i="20"/>
  <c r="H38" i="12"/>
  <c r="C10" i="10"/>
  <c r="C12" i="9"/>
  <c r="U46" i="9" s="1"/>
  <c r="P7" i="7"/>
  <c r="AB17" i="1"/>
  <c r="AD16" i="1"/>
  <c r="AC16" i="1"/>
  <c r="F8" i="10"/>
  <c r="L4" i="10"/>
  <c r="L3" i="10" s="1"/>
  <c r="I7" i="10"/>
  <c r="C97" i="14"/>
  <c r="C95" i="16"/>
  <c r="E95" i="16" s="1"/>
  <c r="B17" i="16"/>
  <c r="C96" i="16"/>
  <c r="E96" i="16" s="1"/>
  <c r="B28" i="28"/>
  <c r="B61" i="18"/>
  <c r="B67" i="18" s="1"/>
  <c r="A91" i="18"/>
  <c r="A90" i="18" s="1"/>
  <c r="B73" i="18"/>
  <c r="N12" i="4"/>
  <c r="P12" i="4" s="1"/>
  <c r="B59" i="28"/>
  <c r="C25" i="13"/>
  <c r="C26" i="13" s="1"/>
  <c r="N8" i="7"/>
  <c r="D2" i="21"/>
  <c r="G40" i="12"/>
  <c r="E97" i="15"/>
  <c r="C99" i="15"/>
  <c r="E99" i="15" s="1"/>
  <c r="F3" i="11"/>
  <c r="AK34" i="1"/>
  <c r="F4" i="11" s="1"/>
  <c r="U29" i="9"/>
  <c r="U30" i="9" s="1"/>
  <c r="U57" i="9"/>
  <c r="F54" i="9"/>
  <c r="G54" i="9" s="1"/>
  <c r="U42" i="9"/>
  <c r="U34" i="9"/>
  <c r="U35" i="9" s="1"/>
  <c r="F10" i="9"/>
  <c r="B17" i="18"/>
  <c r="B62" i="18"/>
  <c r="U46" i="28" s="1"/>
  <c r="B66" i="18"/>
  <c r="B68" i="18" s="1"/>
  <c r="U64" i="28" s="1"/>
  <c r="C98" i="16"/>
  <c r="E98" i="16" s="1"/>
  <c r="B66" i="16"/>
  <c r="B68" i="16" s="1"/>
  <c r="U62" i="28" s="1"/>
  <c r="B62" i="16"/>
  <c r="U44" i="28" s="1"/>
  <c r="N6" i="9"/>
  <c r="P6" i="9" s="1"/>
  <c r="U41" i="9"/>
  <c r="I9" i="9"/>
  <c r="B62" i="17"/>
  <c r="U45" i="28" s="1"/>
  <c r="L4" i="19"/>
  <c r="C97" i="16"/>
  <c r="E97" i="16" s="1"/>
  <c r="U43" i="8"/>
  <c r="C4" i="3"/>
  <c r="C3" i="4"/>
  <c r="I25" i="3"/>
  <c r="U56" i="3"/>
  <c r="U58" i="3" s="1"/>
  <c r="I10" i="12"/>
  <c r="F10" i="12"/>
  <c r="N7" i="8"/>
  <c r="C93" i="17"/>
  <c r="E93" i="17" s="1"/>
  <c r="P8" i="6"/>
  <c r="N9" i="6"/>
  <c r="D2" i="22" l="1"/>
  <c r="G41" i="12"/>
  <c r="P7" i="8"/>
  <c r="F11" i="12"/>
  <c r="G11" i="12" s="1"/>
  <c r="L4" i="21" s="1"/>
  <c r="I11" i="12"/>
  <c r="C27" i="13"/>
  <c r="B37" i="13" s="1"/>
  <c r="B5" i="28"/>
  <c r="F10" i="13"/>
  <c r="AD17" i="1"/>
  <c r="AC17" i="1"/>
  <c r="AE17" i="1" s="1"/>
  <c r="AB18" i="1"/>
  <c r="G10" i="12"/>
  <c r="C99" i="16"/>
  <c r="E99" i="16" s="1"/>
  <c r="P8" i="7"/>
  <c r="N9" i="7"/>
  <c r="N10" i="7"/>
  <c r="P10" i="7" s="1"/>
  <c r="E2" i="20"/>
  <c r="I38" i="12"/>
  <c r="F2" i="20" s="1"/>
  <c r="C94" i="18"/>
  <c r="E94" i="18" s="1"/>
  <c r="C93" i="18"/>
  <c r="E93" i="18" s="1"/>
  <c r="C95" i="17"/>
  <c r="E95" i="17" s="1"/>
  <c r="C96" i="17"/>
  <c r="E96" i="17" s="1"/>
  <c r="U43" i="9"/>
  <c r="E97" i="14"/>
  <c r="C98" i="14"/>
  <c r="N6" i="10"/>
  <c r="P6" i="10" s="1"/>
  <c r="AK28" i="1"/>
  <c r="AK29" i="1" s="1"/>
  <c r="C10" i="11"/>
  <c r="C12" i="11" s="1"/>
  <c r="U46" i="11" s="1"/>
  <c r="C12" i="10"/>
  <c r="U46" i="10" s="1"/>
  <c r="P9" i="6"/>
  <c r="N10" i="6"/>
  <c r="N11" i="6"/>
  <c r="P11" i="6" s="1"/>
  <c r="N12" i="6"/>
  <c r="P12" i="6" s="1"/>
  <c r="B29" i="28"/>
  <c r="A91" i="19"/>
  <c r="A90" i="19" s="1"/>
  <c r="B73" i="19"/>
  <c r="B61" i="19"/>
  <c r="B67" i="19" s="1"/>
  <c r="F10" i="10"/>
  <c r="U42" i="10"/>
  <c r="U34" i="10"/>
  <c r="U35" i="10" s="1"/>
  <c r="U29" i="10"/>
  <c r="U30" i="10" s="1"/>
  <c r="F54" i="10"/>
  <c r="G54" i="10" s="1"/>
  <c r="U57" i="10"/>
  <c r="AJ28" i="1"/>
  <c r="AJ29" i="1" s="1"/>
  <c r="C4" i="4"/>
  <c r="L7" i="19"/>
  <c r="C16" i="19"/>
  <c r="N13" i="4"/>
  <c r="P13" i="4" s="1"/>
  <c r="P14" i="4" s="1"/>
  <c r="I13" i="4" s="1"/>
  <c r="I15" i="4" s="1"/>
  <c r="I22" i="4" s="1"/>
  <c r="F40" i="12"/>
  <c r="B2" i="22"/>
  <c r="E41" i="12"/>
  <c r="U41" i="10"/>
  <c r="I9" i="10"/>
  <c r="I7" i="11"/>
  <c r="L4" i="11"/>
  <c r="L3" i="11" s="1"/>
  <c r="F8" i="11"/>
  <c r="C100" i="15"/>
  <c r="E100" i="15" s="1"/>
  <c r="E101" i="15" s="1"/>
  <c r="I25" i="5"/>
  <c r="U56" i="5"/>
  <c r="U58" i="5" s="1"/>
  <c r="C19" i="3"/>
  <c r="U15" i="3"/>
  <c r="U5" i="3"/>
  <c r="U7" i="3" s="1"/>
  <c r="U10" i="3"/>
  <c r="U12" i="3" s="1"/>
  <c r="H39" i="12"/>
  <c r="C2" i="21"/>
  <c r="N8" i="8"/>
  <c r="P8" i="8" s="1"/>
  <c r="C94" i="17"/>
  <c r="E94" i="17" s="1"/>
  <c r="N7" i="9"/>
  <c r="N8" i="9"/>
  <c r="P8" i="9" s="1"/>
  <c r="AE16" i="1"/>
  <c r="C25" i="15" l="1"/>
  <c r="C26" i="15" s="1"/>
  <c r="B61" i="28"/>
  <c r="U24" i="3"/>
  <c r="U25" i="3" s="1"/>
  <c r="C33" i="3"/>
  <c r="C36" i="3" s="1"/>
  <c r="Y7" i="3"/>
  <c r="C100" i="16"/>
  <c r="E100" i="16" s="1"/>
  <c r="E101" i="16" s="1"/>
  <c r="U41" i="11"/>
  <c r="I9" i="11"/>
  <c r="U34" i="11"/>
  <c r="U35" i="11" s="1"/>
  <c r="U29" i="11"/>
  <c r="U30" i="11" s="1"/>
  <c r="U57" i="11"/>
  <c r="F54" i="11"/>
  <c r="G54" i="11" s="1"/>
  <c r="F10" i="11"/>
  <c r="U42" i="11"/>
  <c r="P9" i="7"/>
  <c r="N11" i="7"/>
  <c r="P11" i="7" s="1"/>
  <c r="E98" i="14"/>
  <c r="C99" i="14"/>
  <c r="L4" i="20"/>
  <c r="P7" i="9"/>
  <c r="N9" i="9"/>
  <c r="P9" i="9" s="1"/>
  <c r="AD18" i="1"/>
  <c r="AB19" i="1"/>
  <c r="AC18" i="1"/>
  <c r="AE18" i="1" s="1"/>
  <c r="N10" i="9"/>
  <c r="P10" i="9" s="1"/>
  <c r="C97" i="17"/>
  <c r="E97" i="17" s="1"/>
  <c r="C2" i="22"/>
  <c r="H40" i="12"/>
  <c r="N9" i="8"/>
  <c r="N10" i="8"/>
  <c r="P10" i="8" s="1"/>
  <c r="N7" i="11"/>
  <c r="P7" i="11" s="1"/>
  <c r="N6" i="11"/>
  <c r="P6" i="11" s="1"/>
  <c r="C93" i="19"/>
  <c r="E93" i="19" s="1"/>
  <c r="P10" i="6"/>
  <c r="N13" i="6"/>
  <c r="P13" i="6" s="1"/>
  <c r="P14" i="6" s="1"/>
  <c r="I13" i="6" s="1"/>
  <c r="I15" i="6" s="1"/>
  <c r="I22" i="6" s="1"/>
  <c r="I12" i="12"/>
  <c r="F12" i="12"/>
  <c r="G12" i="12" s="1"/>
  <c r="L4" i="22" s="1"/>
  <c r="U43" i="10"/>
  <c r="B2" i="23"/>
  <c r="F41" i="12"/>
  <c r="E42" i="12"/>
  <c r="L7" i="21"/>
  <c r="C16" i="21"/>
  <c r="B16" i="19"/>
  <c r="C95" i="18"/>
  <c r="D2" i="23"/>
  <c r="G42" i="12"/>
  <c r="U11" i="4"/>
  <c r="I24" i="4"/>
  <c r="B31" i="19"/>
  <c r="B60" i="19"/>
  <c r="U5" i="4"/>
  <c r="U7" i="4" s="1"/>
  <c r="U10" i="4"/>
  <c r="U12" i="4" s="1"/>
  <c r="C19" i="4"/>
  <c r="U15" i="4"/>
  <c r="I4" i="13"/>
  <c r="E29" i="13"/>
  <c r="B72" i="13" s="1"/>
  <c r="B74" i="13" s="1"/>
  <c r="AF4" i="28" s="1"/>
  <c r="I39" i="12"/>
  <c r="F2" i="21" s="1"/>
  <c r="E2" i="21"/>
  <c r="N7" i="10"/>
  <c r="A91" i="20"/>
  <c r="A90" i="20" s="1"/>
  <c r="B30" i="28"/>
  <c r="B61" i="20"/>
  <c r="B67" i="20" s="1"/>
  <c r="B73" i="20"/>
  <c r="U11" i="6" l="1"/>
  <c r="I24" i="6"/>
  <c r="B62" i="28"/>
  <c r="C25" i="16"/>
  <c r="C26" i="16" s="1"/>
  <c r="E43" i="12"/>
  <c r="B2" i="24"/>
  <c r="F42" i="12"/>
  <c r="C2" i="23"/>
  <c r="H41" i="12"/>
  <c r="I21" i="13"/>
  <c r="E99" i="14"/>
  <c r="C100" i="14"/>
  <c r="E100" i="14" s="1"/>
  <c r="E101" i="14" s="1"/>
  <c r="AD19" i="1"/>
  <c r="AB20" i="1"/>
  <c r="AC19" i="1"/>
  <c r="AE19" i="1" s="1"/>
  <c r="P9" i="8"/>
  <c r="N11" i="8"/>
  <c r="P11" i="8" s="1"/>
  <c r="F13" i="12"/>
  <c r="G13" i="12" s="1"/>
  <c r="L4" i="23" s="1"/>
  <c r="I13" i="12"/>
  <c r="U43" i="11"/>
  <c r="C98" i="17"/>
  <c r="C99" i="17"/>
  <c r="E99" i="17" s="1"/>
  <c r="B7" i="28"/>
  <c r="C27" i="15"/>
  <c r="B37" i="15" s="1"/>
  <c r="F10" i="15"/>
  <c r="C94" i="19"/>
  <c r="B60" i="21"/>
  <c r="B31" i="21"/>
  <c r="I25" i="4"/>
  <c r="U56" i="4"/>
  <c r="U58" i="4" s="1"/>
  <c r="C3" i="5"/>
  <c r="N11" i="9"/>
  <c r="N12" i="9" s="1"/>
  <c r="P12" i="9" s="1"/>
  <c r="D2" i="24"/>
  <c r="G43" i="12"/>
  <c r="U16" i="3"/>
  <c r="U17" i="3" s="1"/>
  <c r="U47" i="3"/>
  <c r="U48" i="3" s="1"/>
  <c r="Y6" i="3"/>
  <c r="Y8" i="3" s="1"/>
  <c r="C93" i="20"/>
  <c r="E93" i="20" s="1"/>
  <c r="P7" i="10"/>
  <c r="N8" i="10"/>
  <c r="P8" i="10" s="1"/>
  <c r="L7" i="20"/>
  <c r="C16" i="20"/>
  <c r="N12" i="7"/>
  <c r="P12" i="7" s="1"/>
  <c r="C33" i="4"/>
  <c r="C36" i="4" s="1"/>
  <c r="U24" i="4"/>
  <c r="U25" i="4" s="1"/>
  <c r="Y7" i="4"/>
  <c r="B66" i="19"/>
  <c r="B68" i="19" s="1"/>
  <c r="U65" i="28" s="1"/>
  <c r="B62" i="19"/>
  <c r="U47" i="28" s="1"/>
  <c r="L8" i="22"/>
  <c r="C16" i="22"/>
  <c r="E2" i="22"/>
  <c r="I40" i="12"/>
  <c r="F2" i="22" s="1"/>
  <c r="E95" i="18"/>
  <c r="C96" i="18"/>
  <c r="E96" i="18" s="1"/>
  <c r="C95" i="19"/>
  <c r="E95" i="19" s="1"/>
  <c r="B31" i="28"/>
  <c r="A91" i="21"/>
  <c r="A90" i="21" s="1"/>
  <c r="B73" i="21"/>
  <c r="B61" i="21"/>
  <c r="B67" i="21" s="1"/>
  <c r="B16" i="21"/>
  <c r="N8" i="11"/>
  <c r="Y6" i="4" l="1"/>
  <c r="Y8" i="4" s="1"/>
  <c r="U47" i="4"/>
  <c r="U48" i="4" s="1"/>
  <c r="U16" i="4"/>
  <c r="U17" i="4" s="1"/>
  <c r="N13" i="7"/>
  <c r="P13" i="7" s="1"/>
  <c r="P14" i="7" s="1"/>
  <c r="I13" i="7" s="1"/>
  <c r="I15" i="7" s="1"/>
  <c r="I22" i="7" s="1"/>
  <c r="C3" i="6"/>
  <c r="C4" i="5"/>
  <c r="C93" i="21"/>
  <c r="E93" i="21" s="1"/>
  <c r="C94" i="21"/>
  <c r="E94" i="21" s="1"/>
  <c r="N13" i="8"/>
  <c r="P13" i="8" s="1"/>
  <c r="P14" i="8" s="1"/>
  <c r="I13" i="8" s="1"/>
  <c r="I15" i="8" s="1"/>
  <c r="I22" i="8" s="1"/>
  <c r="C97" i="19"/>
  <c r="E97" i="19" s="1"/>
  <c r="B62" i="21"/>
  <c r="U49" i="28" s="1"/>
  <c r="B66" i="21"/>
  <c r="B68" i="21" s="1"/>
  <c r="U67" i="28" s="1"/>
  <c r="C2" i="24"/>
  <c r="H42" i="12"/>
  <c r="B2" i="25"/>
  <c r="E44" i="12"/>
  <c r="F43" i="12"/>
  <c r="B16" i="20"/>
  <c r="B77" i="28"/>
  <c r="B49" i="13"/>
  <c r="B55" i="13" s="1"/>
  <c r="B42" i="13"/>
  <c r="B30" i="13"/>
  <c r="C97" i="18"/>
  <c r="E97" i="18" s="1"/>
  <c r="C94" i="20"/>
  <c r="E94" i="20" s="1"/>
  <c r="B60" i="22"/>
  <c r="B31" i="22"/>
  <c r="I14" i="12"/>
  <c r="F14" i="12"/>
  <c r="G14" i="12" s="1"/>
  <c r="L4" i="24" s="1"/>
  <c r="AB21" i="1"/>
  <c r="AD20" i="1"/>
  <c r="AC20" i="1"/>
  <c r="AE20" i="1" s="1"/>
  <c r="P11" i="9"/>
  <c r="P14" i="9" s="1"/>
  <c r="I13" i="9" s="1"/>
  <c r="I15" i="9" s="1"/>
  <c r="I22" i="9" s="1"/>
  <c r="N13" i="9"/>
  <c r="P13" i="9" s="1"/>
  <c r="N12" i="8"/>
  <c r="P12" i="8" s="1"/>
  <c r="N9" i="10"/>
  <c r="A91" i="22"/>
  <c r="A90" i="22" s="1"/>
  <c r="B73" i="22"/>
  <c r="B32" i="28"/>
  <c r="B61" i="22"/>
  <c r="B67" i="22" s="1"/>
  <c r="B16" i="22"/>
  <c r="C16" i="23"/>
  <c r="L8" i="23"/>
  <c r="I25" i="6"/>
  <c r="U56" i="6"/>
  <c r="U58" i="6" s="1"/>
  <c r="G44" i="12"/>
  <c r="D2" i="25"/>
  <c r="B31" i="20"/>
  <c r="B60" i="20"/>
  <c r="B60" i="28"/>
  <c r="C25" i="14"/>
  <c r="C26" i="14" s="1"/>
  <c r="E2" i="23"/>
  <c r="I41" i="12"/>
  <c r="F2" i="23" s="1"/>
  <c r="E94" i="19"/>
  <c r="C96" i="19"/>
  <c r="E96" i="19" s="1"/>
  <c r="E98" i="17"/>
  <c r="C100" i="17"/>
  <c r="E100" i="17" s="1"/>
  <c r="E101" i="17" s="1"/>
  <c r="B8" i="28"/>
  <c r="C27" i="16"/>
  <c r="B37" i="16" s="1"/>
  <c r="F10" i="16"/>
  <c r="P8" i="11"/>
  <c r="N9" i="11"/>
  <c r="U11" i="8" l="1"/>
  <c r="I24" i="8"/>
  <c r="B62" i="22"/>
  <c r="U50" i="28" s="1"/>
  <c r="B66" i="22"/>
  <c r="B68" i="22" s="1"/>
  <c r="U68" i="28" s="1"/>
  <c r="P9" i="11"/>
  <c r="N10" i="11"/>
  <c r="P10" i="11" s="1"/>
  <c r="C98" i="18"/>
  <c r="E98" i="18" s="1"/>
  <c r="B63" i="28"/>
  <c r="C25" i="17"/>
  <c r="C26" i="17" s="1"/>
  <c r="C98" i="19"/>
  <c r="E98" i="19" s="1"/>
  <c r="U11" i="9"/>
  <c r="I24" i="9"/>
  <c r="D2" i="26"/>
  <c r="G45" i="12"/>
  <c r="D2" i="27" s="1"/>
  <c r="B60" i="23"/>
  <c r="B31" i="23"/>
  <c r="B16" i="23"/>
  <c r="C95" i="20"/>
  <c r="B36" i="13"/>
  <c r="B38" i="13" s="1"/>
  <c r="K23" i="28" s="1"/>
  <c r="B32" i="13"/>
  <c r="K5" i="28" s="1"/>
  <c r="C95" i="21"/>
  <c r="E95" i="21" s="1"/>
  <c r="C2" i="25"/>
  <c r="H43" i="12"/>
  <c r="C3" i="7"/>
  <c r="C4" i="6"/>
  <c r="E2" i="24"/>
  <c r="I42" i="12"/>
  <c r="F2" i="24" s="1"/>
  <c r="I15" i="12"/>
  <c r="F15" i="12"/>
  <c r="G15" i="12" s="1"/>
  <c r="L4" i="25" s="1"/>
  <c r="C96" i="21"/>
  <c r="E96" i="21" s="1"/>
  <c r="C94" i="22"/>
  <c r="E94" i="22" s="1"/>
  <c r="C93" i="22"/>
  <c r="E93" i="22" s="1"/>
  <c r="U11" i="7"/>
  <c r="I24" i="7"/>
  <c r="B6" i="28"/>
  <c r="C27" i="14"/>
  <c r="B37" i="14" s="1"/>
  <c r="F10" i="14"/>
  <c r="I4" i="14" s="1"/>
  <c r="I21" i="14" s="1"/>
  <c r="C16" i="24"/>
  <c r="L8" i="24"/>
  <c r="B66" i="20"/>
  <c r="B68" i="20" s="1"/>
  <c r="U66" i="28" s="1"/>
  <c r="B62" i="20"/>
  <c r="U48" i="28" s="1"/>
  <c r="C99" i="18"/>
  <c r="E99" i="18" s="1"/>
  <c r="P9" i="10"/>
  <c r="N10" i="10"/>
  <c r="C19" i="5"/>
  <c r="U15" i="5"/>
  <c r="U5" i="5"/>
  <c r="U7" i="5" s="1"/>
  <c r="U10" i="5"/>
  <c r="U12" i="5" s="1"/>
  <c r="F44" i="12"/>
  <c r="B2" i="26"/>
  <c r="E45" i="12"/>
  <c r="B73" i="23"/>
  <c r="B33" i="28"/>
  <c r="B61" i="23"/>
  <c r="B67" i="23" s="1"/>
  <c r="A91" i="23"/>
  <c r="A90" i="23" s="1"/>
  <c r="AD21" i="1"/>
  <c r="AB22" i="1"/>
  <c r="AC21" i="1"/>
  <c r="AE21" i="1" s="1"/>
  <c r="Y7" i="5" l="1"/>
  <c r="C33" i="5"/>
  <c r="C36" i="5" s="1"/>
  <c r="U24" i="5"/>
  <c r="U25" i="5" s="1"/>
  <c r="P10" i="10"/>
  <c r="N11" i="10"/>
  <c r="P11" i="10" s="1"/>
  <c r="N12" i="10"/>
  <c r="P12" i="10" s="1"/>
  <c r="U15" i="6"/>
  <c r="C19" i="6"/>
  <c r="U5" i="6"/>
  <c r="U7" i="6" s="1"/>
  <c r="U10" i="6"/>
  <c r="U12" i="6" s="1"/>
  <c r="N13" i="10"/>
  <c r="P13" i="10" s="1"/>
  <c r="P14" i="10" s="1"/>
  <c r="I13" i="10" s="1"/>
  <c r="I15" i="10" s="1"/>
  <c r="I22" i="10" s="1"/>
  <c r="B16" i="24"/>
  <c r="I43" i="12"/>
  <c r="F2" i="25" s="1"/>
  <c r="E2" i="25"/>
  <c r="C98" i="21"/>
  <c r="E98" i="21" s="1"/>
  <c r="I16" i="12"/>
  <c r="F16" i="12"/>
  <c r="G16" i="12" s="1"/>
  <c r="L4" i="26" s="1"/>
  <c r="B61" i="24"/>
  <c r="B67" i="24" s="1"/>
  <c r="B34" i="28"/>
  <c r="B73" i="24"/>
  <c r="A91" i="24"/>
  <c r="A90" i="24" s="1"/>
  <c r="C3" i="8"/>
  <c r="C4" i="7"/>
  <c r="AD22" i="1"/>
  <c r="AC22" i="1"/>
  <c r="AE22" i="1" s="1"/>
  <c r="C97" i="21"/>
  <c r="E97" i="21" s="1"/>
  <c r="N11" i="11"/>
  <c r="I25" i="9"/>
  <c r="U56" i="9"/>
  <c r="U58" i="9" s="1"/>
  <c r="N12" i="11"/>
  <c r="P12" i="11" s="1"/>
  <c r="C99" i="19"/>
  <c r="E99" i="19" s="1"/>
  <c r="C94" i="23"/>
  <c r="E94" i="23" s="1"/>
  <c r="C93" i="23"/>
  <c r="E93" i="23" s="1"/>
  <c r="I25" i="7"/>
  <c r="U56" i="7"/>
  <c r="U58" i="7" s="1"/>
  <c r="B2" i="27"/>
  <c r="F45" i="12"/>
  <c r="I25" i="8"/>
  <c r="U56" i="8"/>
  <c r="U58" i="8" s="1"/>
  <c r="C27" i="17"/>
  <c r="B37" i="17" s="1"/>
  <c r="B9" i="28"/>
  <c r="F10" i="17"/>
  <c r="C100" i="18"/>
  <c r="E100" i="18" s="1"/>
  <c r="E101" i="18" s="1"/>
  <c r="C2" i="26"/>
  <c r="H44" i="12"/>
  <c r="C96" i="22"/>
  <c r="E96" i="22" s="1"/>
  <c r="L8" i="25"/>
  <c r="C16" i="25"/>
  <c r="B60" i="24"/>
  <c r="B31" i="24"/>
  <c r="I29" i="14"/>
  <c r="D29" i="14"/>
  <c r="B72" i="14" s="1"/>
  <c r="B74" i="14" s="1"/>
  <c r="AF5" i="28" s="1"/>
  <c r="I4" i="15"/>
  <c r="I21" i="15" s="1"/>
  <c r="B30" i="14"/>
  <c r="E95" i="20"/>
  <c r="C96" i="20"/>
  <c r="C95" i="22"/>
  <c r="E95" i="22" s="1"/>
  <c r="B66" i="23"/>
  <c r="B68" i="23" s="1"/>
  <c r="U69" i="28" s="1"/>
  <c r="B62" i="23"/>
  <c r="U51" i="28" s="1"/>
  <c r="U11" i="10" l="1"/>
  <c r="I24" i="10"/>
  <c r="B49" i="14"/>
  <c r="B55" i="14" s="1"/>
  <c r="B78" i="28"/>
  <c r="B35" i="28"/>
  <c r="A91" i="25"/>
  <c r="A90" i="25" s="1"/>
  <c r="B61" i="25"/>
  <c r="B67" i="25" s="1"/>
  <c r="B73" i="25"/>
  <c r="C95" i="23"/>
  <c r="B16" i="25"/>
  <c r="B60" i="25"/>
  <c r="B31" i="25"/>
  <c r="C97" i="22"/>
  <c r="E97" i="22" s="1"/>
  <c r="C100" i="19"/>
  <c r="E100" i="19" s="1"/>
  <c r="E101" i="19" s="1"/>
  <c r="D29" i="15"/>
  <c r="B72" i="15" s="1"/>
  <c r="B74" i="15" s="1"/>
  <c r="AF6" i="28" s="1"/>
  <c r="I4" i="16"/>
  <c r="I21" i="16" s="1"/>
  <c r="B30" i="15"/>
  <c r="I29" i="15"/>
  <c r="P11" i="11"/>
  <c r="N13" i="11"/>
  <c r="P13" i="11" s="1"/>
  <c r="P14" i="11" s="1"/>
  <c r="I13" i="11" s="1"/>
  <c r="I15" i="11" s="1"/>
  <c r="I22" i="11" s="1"/>
  <c r="C33" i="6"/>
  <c r="C36" i="6" s="1"/>
  <c r="Y7" i="6"/>
  <c r="U24" i="6"/>
  <c r="U25" i="6" s="1"/>
  <c r="C94" i="24"/>
  <c r="E94" i="24" s="1"/>
  <c r="C93" i="24"/>
  <c r="E93" i="24" s="1"/>
  <c r="E96" i="20"/>
  <c r="C97" i="20"/>
  <c r="E97" i="20" s="1"/>
  <c r="C4" i="8"/>
  <c r="C3" i="9"/>
  <c r="B66" i="24"/>
  <c r="B68" i="24" s="1"/>
  <c r="U70" i="28" s="1"/>
  <c r="B62" i="24"/>
  <c r="U52" i="28" s="1"/>
  <c r="C99" i="21"/>
  <c r="E99" i="21" s="1"/>
  <c r="B64" i="28"/>
  <c r="C25" i="18"/>
  <c r="C26" i="18" s="1"/>
  <c r="U47" i="5"/>
  <c r="U48" i="5" s="1"/>
  <c r="U16" i="5"/>
  <c r="U17" i="5" s="1"/>
  <c r="Y6" i="5"/>
  <c r="Y8" i="5" s="1"/>
  <c r="C2" i="27"/>
  <c r="H45" i="12"/>
  <c r="E2" i="26"/>
  <c r="I44" i="12"/>
  <c r="F2" i="26" s="1"/>
  <c r="U10" i="7"/>
  <c r="U12" i="7" s="1"/>
  <c r="C19" i="7"/>
  <c r="U15" i="7"/>
  <c r="U5" i="7"/>
  <c r="U7" i="7" s="1"/>
  <c r="L8" i="26"/>
  <c r="C16" i="26"/>
  <c r="B42" i="14"/>
  <c r="B36" i="14"/>
  <c r="B38" i="14" s="1"/>
  <c r="K24" i="28" s="1"/>
  <c r="B32" i="14"/>
  <c r="K6" i="28" s="1"/>
  <c r="F17" i="12"/>
  <c r="I17" i="12"/>
  <c r="U10" i="8" l="1"/>
  <c r="U12" i="8" s="1"/>
  <c r="C19" i="8"/>
  <c r="U15" i="8"/>
  <c r="U5" i="8"/>
  <c r="U7" i="8" s="1"/>
  <c r="B16" i="26"/>
  <c r="C4" i="9"/>
  <c r="C3" i="10"/>
  <c r="B60" i="26"/>
  <c r="B31" i="26"/>
  <c r="B65" i="28"/>
  <c r="C25" i="19"/>
  <c r="C26" i="19" s="1"/>
  <c r="B79" i="28"/>
  <c r="B49" i="15"/>
  <c r="B55" i="15" s="1"/>
  <c r="C95" i="24"/>
  <c r="E95" i="24" s="1"/>
  <c r="C33" i="7"/>
  <c r="C36" i="7" s="1"/>
  <c r="U24" i="7"/>
  <c r="U25" i="7" s="1"/>
  <c r="Y7" i="7"/>
  <c r="E2" i="27"/>
  <c r="I45" i="12"/>
  <c r="F2" i="27" s="1"/>
  <c r="B30" i="16"/>
  <c r="I29" i="16"/>
  <c r="D29" i="16"/>
  <c r="B72" i="16" s="1"/>
  <c r="B74" i="16" s="1"/>
  <c r="AF7" i="28" s="1"/>
  <c r="I4" i="17"/>
  <c r="I21" i="17" s="1"/>
  <c r="B73" i="26"/>
  <c r="A91" i="26"/>
  <c r="A90" i="26" s="1"/>
  <c r="B36" i="28"/>
  <c r="B61" i="26"/>
  <c r="B67" i="26" s="1"/>
  <c r="C98" i="20"/>
  <c r="E98" i="20" s="1"/>
  <c r="C93" i="25"/>
  <c r="E93" i="25" s="1"/>
  <c r="B10" i="28"/>
  <c r="C27" i="18"/>
  <c r="B37" i="18" s="1"/>
  <c r="F10" i="18"/>
  <c r="Y6" i="6"/>
  <c r="Y8" i="6" s="1"/>
  <c r="U16" i="6"/>
  <c r="U17" i="6" s="1"/>
  <c r="U47" i="6"/>
  <c r="U48" i="6" s="1"/>
  <c r="I25" i="10"/>
  <c r="U56" i="10"/>
  <c r="U58" i="10" s="1"/>
  <c r="B36" i="15"/>
  <c r="B38" i="15" s="1"/>
  <c r="K25" i="28" s="1"/>
  <c r="B32" i="15"/>
  <c r="K7" i="28" s="1"/>
  <c r="B42" i="15"/>
  <c r="B66" i="25"/>
  <c r="B68" i="25" s="1"/>
  <c r="U71" i="28" s="1"/>
  <c r="B62" i="25"/>
  <c r="U53" i="28" s="1"/>
  <c r="E95" i="23"/>
  <c r="C96" i="23"/>
  <c r="C98" i="22"/>
  <c r="U11" i="11"/>
  <c r="I24" i="11"/>
  <c r="G17" i="12"/>
  <c r="F18" i="12"/>
  <c r="C100" i="21"/>
  <c r="E100" i="21" s="1"/>
  <c r="E101" i="21" s="1"/>
  <c r="A91" i="27" l="1"/>
  <c r="A90" i="27" s="1"/>
  <c r="B73" i="27"/>
  <c r="B37" i="28"/>
  <c r="B61" i="27"/>
  <c r="B67" i="27" s="1"/>
  <c r="E98" i="22"/>
  <c r="U16" i="7"/>
  <c r="U17" i="7" s="1"/>
  <c r="Y6" i="7"/>
  <c r="Y8" i="7" s="1"/>
  <c r="U47" i="7"/>
  <c r="U48" i="7" s="1"/>
  <c r="C93" i="26"/>
  <c r="E93" i="26" s="1"/>
  <c r="U10" i="9"/>
  <c r="U12" i="9" s="1"/>
  <c r="C19" i="9"/>
  <c r="U15" i="9"/>
  <c r="U5" i="9"/>
  <c r="U7" i="9" s="1"/>
  <c r="B30" i="17"/>
  <c r="I29" i="17"/>
  <c r="D29" i="17"/>
  <c r="B72" i="17" s="1"/>
  <c r="B74" i="17" s="1"/>
  <c r="AF8" i="28" s="1"/>
  <c r="I4" i="18"/>
  <c r="I21" i="18" s="1"/>
  <c r="B11" i="28"/>
  <c r="C27" i="19"/>
  <c r="B37" i="19" s="1"/>
  <c r="F10" i="19"/>
  <c r="C99" i="22"/>
  <c r="E99" i="22" s="1"/>
  <c r="C3" i="11"/>
  <c r="C4" i="11" s="1"/>
  <c r="C4" i="10"/>
  <c r="C25" i="21"/>
  <c r="C26" i="21" s="1"/>
  <c r="B67" i="28"/>
  <c r="B42" i="16"/>
  <c r="B36" i="16"/>
  <c r="B38" i="16" s="1"/>
  <c r="K26" i="28" s="1"/>
  <c r="B32" i="16"/>
  <c r="K8" i="28" s="1"/>
  <c r="U24" i="8"/>
  <c r="U25" i="8" s="1"/>
  <c r="Y7" i="8"/>
  <c r="C33" i="8"/>
  <c r="C36" i="8" s="1"/>
  <c r="I25" i="11"/>
  <c r="U56" i="11"/>
  <c r="U58" i="11" s="1"/>
  <c r="E96" i="23"/>
  <c r="C97" i="23"/>
  <c r="C94" i="25"/>
  <c r="C96" i="24"/>
  <c r="E96" i="24" s="1"/>
  <c r="C99" i="20"/>
  <c r="E99" i="20" s="1"/>
  <c r="B49" i="16"/>
  <c r="B55" i="16" s="1"/>
  <c r="B80" i="28"/>
  <c r="C97" i="24"/>
  <c r="E97" i="24" s="1"/>
  <c r="B66" i="26"/>
  <c r="B68" i="26" s="1"/>
  <c r="U72" i="28" s="1"/>
  <c r="B62" i="26"/>
  <c r="U54" i="28" s="1"/>
  <c r="C100" i="20"/>
  <c r="E100" i="20" s="1"/>
  <c r="E101" i="20" s="1"/>
  <c r="L4" i="27"/>
  <c r="G18" i="12"/>
  <c r="C95" i="25"/>
  <c r="E95" i="25" s="1"/>
  <c r="U47" i="8" l="1"/>
  <c r="U48" i="8" s="1"/>
  <c r="Y6" i="8"/>
  <c r="Y8" i="8" s="1"/>
  <c r="U16" i="8"/>
  <c r="U17" i="8" s="1"/>
  <c r="L11" i="22"/>
  <c r="L15" i="22" s="1"/>
  <c r="L21" i="22" s="1"/>
  <c r="L10" i="21"/>
  <c r="L13" i="21" s="1"/>
  <c r="L21" i="21" s="1"/>
  <c r="L11" i="25"/>
  <c r="L15" i="25" s="1"/>
  <c r="L21" i="25" s="1"/>
  <c r="L10" i="17"/>
  <c r="L13" i="17" s="1"/>
  <c r="L21" i="17" s="1"/>
  <c r="L10" i="15"/>
  <c r="L13" i="15" s="1"/>
  <c r="L21" i="15" s="1"/>
  <c r="L11" i="27"/>
  <c r="L15" i="27" s="1"/>
  <c r="L11" i="23"/>
  <c r="L15" i="23" s="1"/>
  <c r="L21" i="23" s="1"/>
  <c r="L11" i="26"/>
  <c r="L15" i="26" s="1"/>
  <c r="L21" i="26" s="1"/>
  <c r="L10" i="16"/>
  <c r="L13" i="16" s="1"/>
  <c r="L21" i="16" s="1"/>
  <c r="L10" i="19"/>
  <c r="L13" i="19" s="1"/>
  <c r="L21" i="19" s="1"/>
  <c r="L10" i="20"/>
  <c r="L13" i="20" s="1"/>
  <c r="L21" i="20" s="1"/>
  <c r="L10" i="13"/>
  <c r="L13" i="13" s="1"/>
  <c r="L21" i="13" s="1"/>
  <c r="L10" i="14"/>
  <c r="L13" i="14" s="1"/>
  <c r="L21" i="14" s="1"/>
  <c r="L10" i="18"/>
  <c r="L13" i="18" s="1"/>
  <c r="L21" i="18" s="1"/>
  <c r="L11" i="24"/>
  <c r="L15" i="24" s="1"/>
  <c r="L21" i="24" s="1"/>
  <c r="U24" i="9"/>
  <c r="U25" i="9" s="1"/>
  <c r="C33" i="9"/>
  <c r="C36" i="9" s="1"/>
  <c r="Y7" i="9"/>
  <c r="C94" i="26"/>
  <c r="C19" i="10"/>
  <c r="U15" i="10"/>
  <c r="U10" i="10"/>
  <c r="U12" i="10" s="1"/>
  <c r="U5" i="10"/>
  <c r="U7" i="10" s="1"/>
  <c r="C19" i="11"/>
  <c r="U15" i="11"/>
  <c r="U10" i="11"/>
  <c r="U12" i="11" s="1"/>
  <c r="U5" i="11"/>
  <c r="U7" i="11" s="1"/>
  <c r="C16" i="27"/>
  <c r="L8" i="27"/>
  <c r="B66" i="28"/>
  <c r="C25" i="20"/>
  <c r="C26" i="20" s="1"/>
  <c r="C100" i="22"/>
  <c r="E100" i="22" s="1"/>
  <c r="E101" i="22" s="1"/>
  <c r="C95" i="26"/>
  <c r="E95" i="26" s="1"/>
  <c r="C98" i="24"/>
  <c r="C99" i="24" s="1"/>
  <c r="E99" i="24" s="1"/>
  <c r="E94" i="25"/>
  <c r="C97" i="25"/>
  <c r="E97" i="25" s="1"/>
  <c r="C96" i="25"/>
  <c r="E96" i="25" s="1"/>
  <c r="I4" i="19"/>
  <c r="I21" i="19" s="1"/>
  <c r="D29" i="18"/>
  <c r="B72" i="18" s="1"/>
  <c r="B74" i="18" s="1"/>
  <c r="AF9" i="28" s="1"/>
  <c r="B30" i="18"/>
  <c r="I29" i="18"/>
  <c r="B13" i="28"/>
  <c r="C27" i="21"/>
  <c r="B37" i="21" s="1"/>
  <c r="F10" i="21"/>
  <c r="E97" i="23"/>
  <c r="C93" i="27"/>
  <c r="E93" i="27" s="1"/>
  <c r="B81" i="28"/>
  <c r="F20" i="17"/>
  <c r="B49" i="17"/>
  <c r="B55" i="17" s="1"/>
  <c r="B32" i="17"/>
  <c r="K9" i="28" s="1"/>
  <c r="B42" i="17"/>
  <c r="B36" i="17"/>
  <c r="B38" i="17" s="1"/>
  <c r="K27" i="28" s="1"/>
  <c r="C98" i="23"/>
  <c r="Y6" i="9" l="1"/>
  <c r="Y8" i="9" s="1"/>
  <c r="U16" i="9"/>
  <c r="U17" i="9" s="1"/>
  <c r="U47" i="9"/>
  <c r="U48" i="9" s="1"/>
  <c r="B106" i="28"/>
  <c r="B48" i="24"/>
  <c r="B45" i="28"/>
  <c r="B43" i="17"/>
  <c r="B48" i="18"/>
  <c r="B50" i="18" s="1"/>
  <c r="U9" i="28" s="1"/>
  <c r="B100" i="28"/>
  <c r="B95" i="28"/>
  <c r="B48" i="13"/>
  <c r="B50" i="13" s="1"/>
  <c r="U4" i="28" s="1"/>
  <c r="F20" i="13"/>
  <c r="B48" i="19"/>
  <c r="B101" i="28"/>
  <c r="C27" i="20"/>
  <c r="B37" i="20" s="1"/>
  <c r="B12" i="28"/>
  <c r="F10" i="20"/>
  <c r="B31" i="27"/>
  <c r="L21" i="27"/>
  <c r="B60" i="27"/>
  <c r="C98" i="25"/>
  <c r="E98" i="25" s="1"/>
  <c r="B48" i="20"/>
  <c r="B102" i="28"/>
  <c r="B48" i="17"/>
  <c r="B50" i="17" s="1"/>
  <c r="U8" i="28" s="1"/>
  <c r="B99" i="28"/>
  <c r="E98" i="24"/>
  <c r="C100" i="24"/>
  <c r="E100" i="24" s="1"/>
  <c r="E101" i="24" s="1"/>
  <c r="C25" i="22"/>
  <c r="C26" i="22" s="1"/>
  <c r="B68" i="28"/>
  <c r="B98" i="28"/>
  <c r="B48" i="16"/>
  <c r="B50" i="16" s="1"/>
  <c r="U7" i="28" s="1"/>
  <c r="F20" i="16"/>
  <c r="B97" i="28"/>
  <c r="B48" i="15"/>
  <c r="B50" i="15" s="1"/>
  <c r="U6" i="28" s="1"/>
  <c r="F20" i="15"/>
  <c r="B103" i="28"/>
  <c r="B48" i="21"/>
  <c r="U24" i="11"/>
  <c r="U25" i="11" s="1"/>
  <c r="Y7" i="11"/>
  <c r="C33" i="11"/>
  <c r="C36" i="11" s="1"/>
  <c r="C99" i="25"/>
  <c r="E99" i="25" s="1"/>
  <c r="E98" i="23"/>
  <c r="C99" i="23"/>
  <c r="F20" i="18"/>
  <c r="B82" i="28"/>
  <c r="B49" i="18"/>
  <c r="B55" i="18" s="1"/>
  <c r="U24" i="10"/>
  <c r="U25" i="10" s="1"/>
  <c r="Y7" i="10"/>
  <c r="C33" i="10"/>
  <c r="C36" i="10" s="1"/>
  <c r="B30" i="19"/>
  <c r="I30" i="19"/>
  <c r="D29" i="19"/>
  <c r="B72" i="19" s="1"/>
  <c r="B74" i="19" s="1"/>
  <c r="AF10" i="28" s="1"/>
  <c r="I4" i="20"/>
  <c r="I21" i="20" s="1"/>
  <c r="B96" i="28"/>
  <c r="B48" i="14"/>
  <c r="B50" i="14" s="1"/>
  <c r="U5" i="28" s="1"/>
  <c r="F20" i="14"/>
  <c r="C94" i="27"/>
  <c r="C95" i="27"/>
  <c r="E95" i="27" s="1"/>
  <c r="B48" i="26"/>
  <c r="B108" i="28"/>
  <c r="B48" i="23"/>
  <c r="B105" i="28"/>
  <c r="B16" i="27"/>
  <c r="B107" i="28"/>
  <c r="B48" i="25"/>
  <c r="B104" i="28"/>
  <c r="B48" i="22"/>
  <c r="B42" i="18"/>
  <c r="B36" i="18"/>
  <c r="B38" i="18" s="1"/>
  <c r="K28" i="28" s="1"/>
  <c r="B32" i="18"/>
  <c r="K10" i="28" s="1"/>
  <c r="E94" i="26"/>
  <c r="C96" i="26"/>
  <c r="E96" i="26" s="1"/>
  <c r="U47" i="11" l="1"/>
  <c r="U48" i="11" s="1"/>
  <c r="Y6" i="11"/>
  <c r="Y8" i="11" s="1"/>
  <c r="U16" i="11"/>
  <c r="U17" i="11" s="1"/>
  <c r="B48" i="27"/>
  <c r="B109" i="28"/>
  <c r="E94" i="27"/>
  <c r="B43" i="28"/>
  <c r="B43" i="15"/>
  <c r="B44" i="28"/>
  <c r="B43" i="16"/>
  <c r="I30" i="20"/>
  <c r="I4" i="21"/>
  <c r="I21" i="21" s="1"/>
  <c r="B30" i="20"/>
  <c r="D29" i="20"/>
  <c r="B72" i="20" s="1"/>
  <c r="B74" i="20" s="1"/>
  <c r="AF11" i="28" s="1"/>
  <c r="B66" i="27"/>
  <c r="B68" i="27" s="1"/>
  <c r="U73" i="28" s="1"/>
  <c r="B62" i="27"/>
  <c r="U55" i="28" s="1"/>
  <c r="B50" i="19"/>
  <c r="U10" i="28" s="1"/>
  <c r="C96" i="27"/>
  <c r="B49" i="19"/>
  <c r="B55" i="19" s="1"/>
  <c r="B83" i="28"/>
  <c r="F20" i="19"/>
  <c r="B42" i="19"/>
  <c r="B36" i="19"/>
  <c r="B38" i="19" s="1"/>
  <c r="K29" i="28" s="1"/>
  <c r="B32" i="19"/>
  <c r="K11" i="28" s="1"/>
  <c r="U16" i="10"/>
  <c r="U17" i="10" s="1"/>
  <c r="U47" i="10"/>
  <c r="U48" i="10" s="1"/>
  <c r="Y6" i="10"/>
  <c r="Y8" i="10" s="1"/>
  <c r="C97" i="26"/>
  <c r="B41" i="28"/>
  <c r="B43" i="13"/>
  <c r="B70" i="28"/>
  <c r="C25" i="24"/>
  <c r="C26" i="24" s="1"/>
  <c r="E99" i="23"/>
  <c r="C100" i="23"/>
  <c r="E100" i="23" s="1"/>
  <c r="E101" i="23" s="1"/>
  <c r="B42" i="28"/>
  <c r="B43" i="14"/>
  <c r="B14" i="28"/>
  <c r="C27" i="22"/>
  <c r="B37" i="22" s="1"/>
  <c r="F10" i="22"/>
  <c r="B54" i="17"/>
  <c r="B56" i="17" s="1"/>
  <c r="U27" i="28" s="1"/>
  <c r="B79" i="17"/>
  <c r="B80" i="17" s="1"/>
  <c r="AF27" i="28" s="1"/>
  <c r="B43" i="18"/>
  <c r="B46" i="28"/>
  <c r="C100" i="25"/>
  <c r="E100" i="25" s="1"/>
  <c r="E101" i="25" s="1"/>
  <c r="B44" i="17"/>
  <c r="K45" i="28" s="1"/>
  <c r="C25" i="25" l="1"/>
  <c r="C26" i="25" s="1"/>
  <c r="B71" i="28"/>
  <c r="C25" i="23"/>
  <c r="C26" i="23" s="1"/>
  <c r="B69" i="28"/>
  <c r="B54" i="14"/>
  <c r="B56" i="14" s="1"/>
  <c r="U24" i="28" s="1"/>
  <c r="B79" i="14"/>
  <c r="B80" i="14" s="1"/>
  <c r="AF24" i="28" s="1"/>
  <c r="B44" i="14"/>
  <c r="K42" i="28" s="1"/>
  <c r="B42" i="20"/>
  <c r="B36" i="20"/>
  <c r="B38" i="20" s="1"/>
  <c r="K30" i="28" s="1"/>
  <c r="B32" i="20"/>
  <c r="K12" i="28" s="1"/>
  <c r="B54" i="13"/>
  <c r="B56" i="13" s="1"/>
  <c r="U23" i="28" s="1"/>
  <c r="B79" i="13"/>
  <c r="B80" i="13" s="1"/>
  <c r="AF23" i="28" s="1"/>
  <c r="B44" i="13"/>
  <c r="K41" i="28" s="1"/>
  <c r="B16" i="28"/>
  <c r="C27" i="24"/>
  <c r="B37" i="24" s="1"/>
  <c r="F10" i="24"/>
  <c r="B84" i="28"/>
  <c r="B49" i="20"/>
  <c r="F20" i="20"/>
  <c r="E97" i="26"/>
  <c r="C98" i="26"/>
  <c r="B54" i="16"/>
  <c r="B56" i="16" s="1"/>
  <c r="U26" i="28" s="1"/>
  <c r="B79" i="16"/>
  <c r="B80" i="16" s="1"/>
  <c r="AF26" i="28" s="1"/>
  <c r="B44" i="16"/>
  <c r="K44" i="28" s="1"/>
  <c r="B79" i="15"/>
  <c r="B80" i="15" s="1"/>
  <c r="AF25" i="28" s="1"/>
  <c r="B54" i="15"/>
  <c r="B56" i="15" s="1"/>
  <c r="U25" i="28" s="1"/>
  <c r="B44" i="15"/>
  <c r="K43" i="28" s="1"/>
  <c r="B79" i="18"/>
  <c r="B80" i="18" s="1"/>
  <c r="AF28" i="28" s="1"/>
  <c r="B54" i="18"/>
  <c r="B56" i="18" s="1"/>
  <c r="U28" i="28" s="1"/>
  <c r="D29" i="21"/>
  <c r="B72" i="21" s="1"/>
  <c r="B74" i="21" s="1"/>
  <c r="AF12" i="28" s="1"/>
  <c r="I4" i="22"/>
  <c r="I21" i="22" s="1"/>
  <c r="I30" i="21"/>
  <c r="B30" i="21"/>
  <c r="B43" i="19"/>
  <c r="B47" i="28"/>
  <c r="B44" i="18"/>
  <c r="K46" i="28" s="1"/>
  <c r="E96" i="27"/>
  <c r="C97" i="27"/>
  <c r="E97" i="27" l="1"/>
  <c r="C98" i="27"/>
  <c r="E98" i="27" s="1"/>
  <c r="C99" i="27"/>
  <c r="E99" i="27" s="1"/>
  <c r="B55" i="20"/>
  <c r="B50" i="20"/>
  <c r="U11" i="28" s="1"/>
  <c r="B79" i="19"/>
  <c r="B80" i="19" s="1"/>
  <c r="AF29" i="28" s="1"/>
  <c r="B54" i="19"/>
  <c r="B56" i="19" s="1"/>
  <c r="U29" i="28" s="1"/>
  <c r="E98" i="26"/>
  <c r="C99" i="26"/>
  <c r="E99" i="26" s="1"/>
  <c r="B44" i="19"/>
  <c r="K47" i="28" s="1"/>
  <c r="B48" i="28"/>
  <c r="B43" i="20"/>
  <c r="B85" i="28"/>
  <c r="B49" i="21"/>
  <c r="F20" i="21"/>
  <c r="B32" i="21"/>
  <c r="K13" i="28" s="1"/>
  <c r="B42" i="21"/>
  <c r="B36" i="21"/>
  <c r="B38" i="21" s="1"/>
  <c r="K31" i="28" s="1"/>
  <c r="I4" i="23"/>
  <c r="I21" i="23" s="1"/>
  <c r="B30" i="22"/>
  <c r="I31" i="22"/>
  <c r="D29" i="22"/>
  <c r="B72" i="22" s="1"/>
  <c r="B74" i="22" s="1"/>
  <c r="AF13" i="28" s="1"/>
  <c r="C27" i="23"/>
  <c r="B37" i="23" s="1"/>
  <c r="B15" i="28"/>
  <c r="F10" i="23"/>
  <c r="C27" i="25"/>
  <c r="B37" i="25" s="1"/>
  <c r="B17" i="28"/>
  <c r="F10" i="25"/>
  <c r="D29" i="23" l="1"/>
  <c r="B72" i="23" s="1"/>
  <c r="B74" i="23" s="1"/>
  <c r="AF14" i="28" s="1"/>
  <c r="I4" i="24"/>
  <c r="I21" i="24" s="1"/>
  <c r="B30" i="23"/>
  <c r="I31" i="23"/>
  <c r="B49" i="28"/>
  <c r="B43" i="21"/>
  <c r="B55" i="21"/>
  <c r="B50" i="21"/>
  <c r="U12" i="28" s="1"/>
  <c r="C100" i="26"/>
  <c r="E100" i="26" s="1"/>
  <c r="E101" i="26" s="1"/>
  <c r="B42" i="22"/>
  <c r="B32" i="22"/>
  <c r="K14" i="28" s="1"/>
  <c r="B36" i="22"/>
  <c r="B38" i="22" s="1"/>
  <c r="K32" i="28" s="1"/>
  <c r="B86" i="28"/>
  <c r="F20" i="22"/>
  <c r="B49" i="22"/>
  <c r="B54" i="20"/>
  <c r="B56" i="20" s="1"/>
  <c r="U30" i="28" s="1"/>
  <c r="B79" i="20"/>
  <c r="B80" i="20" s="1"/>
  <c r="AF30" i="28" s="1"/>
  <c r="C100" i="27"/>
  <c r="E100" i="27" s="1"/>
  <c r="E101" i="27" s="1"/>
  <c r="B44" i="20"/>
  <c r="K48" i="28" s="1"/>
  <c r="C25" i="27" l="1"/>
  <c r="C26" i="27" s="1"/>
  <c r="B73" i="28"/>
  <c r="C25" i="26"/>
  <c r="C26" i="26" s="1"/>
  <c r="B72" i="28"/>
  <c r="B54" i="21"/>
  <c r="B56" i="21" s="1"/>
  <c r="U31" i="28" s="1"/>
  <c r="B79" i="21"/>
  <c r="B80" i="21" s="1"/>
  <c r="AF31" i="28" s="1"/>
  <c r="B43" i="22"/>
  <c r="B50" i="28"/>
  <c r="I31" i="24"/>
  <c r="B30" i="24"/>
  <c r="D29" i="24"/>
  <c r="B72" i="24" s="1"/>
  <c r="B74" i="24" s="1"/>
  <c r="AF15" i="28" s="1"/>
  <c r="I4" i="25"/>
  <c r="I21" i="25" s="1"/>
  <c r="B55" i="22"/>
  <c r="B50" i="22"/>
  <c r="U13" i="28" s="1"/>
  <c r="B44" i="22"/>
  <c r="K50" i="28" s="1"/>
  <c r="B44" i="21"/>
  <c r="K49" i="28" s="1"/>
  <c r="F20" i="23"/>
  <c r="B49" i="23"/>
  <c r="B87" i="28"/>
  <c r="B36" i="23"/>
  <c r="B38" i="23" s="1"/>
  <c r="K33" i="28" s="1"/>
  <c r="B32" i="23"/>
  <c r="K15" i="28" s="1"/>
  <c r="B42" i="23"/>
  <c r="B55" i="23" l="1"/>
  <c r="B50" i="23"/>
  <c r="U14" i="28" s="1"/>
  <c r="B51" i="28"/>
  <c r="B43" i="23"/>
  <c r="B36" i="24"/>
  <c r="B38" i="24" s="1"/>
  <c r="K34" i="28" s="1"/>
  <c r="B32" i="24"/>
  <c r="K16" i="28" s="1"/>
  <c r="B42" i="24"/>
  <c r="B79" i="22"/>
  <c r="B80" i="22" s="1"/>
  <c r="AF32" i="28" s="1"/>
  <c r="B54" i="22"/>
  <c r="B56" i="22" s="1"/>
  <c r="U32" i="28" s="1"/>
  <c r="B44" i="23"/>
  <c r="K51" i="28" s="1"/>
  <c r="D29" i="25"/>
  <c r="B72" i="25" s="1"/>
  <c r="B74" i="25" s="1"/>
  <c r="AF16" i="28" s="1"/>
  <c r="I31" i="25"/>
  <c r="B30" i="25"/>
  <c r="B49" i="24"/>
  <c r="F20" i="24"/>
  <c r="B88" i="28"/>
  <c r="B18" i="28"/>
  <c r="C27" i="26"/>
  <c r="B37" i="26" s="1"/>
  <c r="F10" i="26"/>
  <c r="I4" i="26" s="1"/>
  <c r="I21" i="26" s="1"/>
  <c r="B19" i="28"/>
  <c r="C27" i="27"/>
  <c r="B37" i="27" s="1"/>
  <c r="F10" i="27"/>
  <c r="B30" i="26" l="1"/>
  <c r="I4" i="27"/>
  <c r="I21" i="27" s="1"/>
  <c r="D29" i="26"/>
  <c r="B72" i="26" s="1"/>
  <c r="B74" i="26" s="1"/>
  <c r="AF17" i="28" s="1"/>
  <c r="I31" i="26"/>
  <c r="B52" i="28"/>
  <c r="B43" i="24"/>
  <c r="B42" i="25"/>
  <c r="B32" i="25"/>
  <c r="K17" i="28" s="1"/>
  <c r="B36" i="25"/>
  <c r="B38" i="25" s="1"/>
  <c r="K35" i="28" s="1"/>
  <c r="B55" i="24"/>
  <c r="B50" i="24"/>
  <c r="U15" i="28" s="1"/>
  <c r="B89" i="28"/>
  <c r="B49" i="25"/>
  <c r="F20" i="25"/>
  <c r="B44" i="24"/>
  <c r="K52" i="28" s="1"/>
  <c r="B79" i="23"/>
  <c r="B80" i="23" s="1"/>
  <c r="AF33" i="28" s="1"/>
  <c r="B54" i="23"/>
  <c r="B56" i="23" s="1"/>
  <c r="U33" i="28" s="1"/>
  <c r="B55" i="25" l="1"/>
  <c r="B50" i="25"/>
  <c r="U16" i="28" s="1"/>
  <c r="B54" i="24"/>
  <c r="B56" i="24" s="1"/>
  <c r="U34" i="28" s="1"/>
  <c r="B79" i="24"/>
  <c r="B80" i="24" s="1"/>
  <c r="AF34" i="28" s="1"/>
  <c r="B53" i="28"/>
  <c r="B43" i="25"/>
  <c r="F20" i="26"/>
  <c r="B90" i="28"/>
  <c r="B49" i="26"/>
  <c r="I31" i="27"/>
  <c r="B30" i="27"/>
  <c r="D29" i="27"/>
  <c r="B72" i="27" s="1"/>
  <c r="B74" i="27" s="1"/>
  <c r="AF18" i="28" s="1"/>
  <c r="B36" i="26"/>
  <c r="B38" i="26" s="1"/>
  <c r="K36" i="28" s="1"/>
  <c r="B32" i="26"/>
  <c r="K18" i="28" s="1"/>
  <c r="B42" i="26"/>
  <c r="B49" i="27" l="1"/>
  <c r="F20" i="27"/>
  <c r="B91" i="28"/>
  <c r="B42" i="27"/>
  <c r="B36" i="27"/>
  <c r="B38" i="27" s="1"/>
  <c r="K37" i="28" s="1"/>
  <c r="B32" i="27"/>
  <c r="K19" i="28" s="1"/>
  <c r="B55" i="26"/>
  <c r="B50" i="26"/>
  <c r="U17" i="28" s="1"/>
  <c r="B43" i="26"/>
  <c r="B54" i="28"/>
  <c r="B54" i="25"/>
  <c r="B56" i="25" s="1"/>
  <c r="U35" i="28" s="1"/>
  <c r="B79" i="25"/>
  <c r="B80" i="25" s="1"/>
  <c r="AF35" i="28" s="1"/>
  <c r="B44" i="25"/>
  <c r="K53" i="28" s="1"/>
  <c r="B79" i="26" l="1"/>
  <c r="B80" i="26" s="1"/>
  <c r="AF36" i="28" s="1"/>
  <c r="B54" i="26"/>
  <c r="B56" i="26" s="1"/>
  <c r="U36" i="28" s="1"/>
  <c r="B55" i="28"/>
  <c r="B43" i="27"/>
  <c r="B55" i="27"/>
  <c r="B50" i="27"/>
  <c r="U18" i="28" s="1"/>
  <c r="B44" i="26"/>
  <c r="K54" i="28" s="1"/>
  <c r="B54" i="27" l="1"/>
  <c r="B56" i="27" s="1"/>
  <c r="U37" i="28" s="1"/>
  <c r="B79" i="27"/>
  <c r="B80" i="27" s="1"/>
  <c r="AF37" i="28" s="1"/>
  <c r="B44" i="27"/>
  <c r="K55" i="28" s="1"/>
</calcChain>
</file>

<file path=xl/sharedStrings.xml><?xml version="1.0" encoding="utf-8"?>
<sst xmlns="http://schemas.openxmlformats.org/spreadsheetml/2006/main" count="3625" uniqueCount="267">
  <si>
    <t>เงินเดือนต่อเดือน</t>
  </si>
  <si>
    <t>เงินเดือนต่อปี</t>
  </si>
  <si>
    <t>โบนัส</t>
  </si>
  <si>
    <t>เงินเดือนต่อปี+โบนัส</t>
  </si>
  <si>
    <t>สินทรัพย์สภาพคล่อง</t>
  </si>
  <si>
    <t>กระแสเงินสดรับ</t>
  </si>
  <si>
    <t>กระแสเงินสดจ่ายคงที่</t>
  </si>
  <si>
    <t>Liquidity Ratios</t>
  </si>
  <si>
    <t>อัตราส่วนสภาพคล้อง</t>
  </si>
  <si>
    <t>เงินฝากออมทรัพย์</t>
  </si>
  <si>
    <t>เงินเดือนคุณปิยะ</t>
  </si>
  <si>
    <t xml:space="preserve">ค่าเบี้ยประกันชีวิต </t>
  </si>
  <si>
    <t>Current Ratio</t>
  </si>
  <si>
    <t>อัตราส่วนกระแสเงินสด</t>
  </si>
  <si>
    <t>สินทรัพย์สภาพคล่องรวม</t>
  </si>
  <si>
    <t>โบนัสคุณปิยะ</t>
  </si>
  <si>
    <t>ค่าเบี้ยประกัน สุขภาพ/โรคร้ายแรง</t>
  </si>
  <si>
    <t>เกณฑ์</t>
  </si>
  <si>
    <t>1&lt;</t>
  </si>
  <si>
    <t>สินทรัพย์สภาพคล่อง/หนี้ระยะสั้น</t>
  </si>
  <si>
    <t>Net Worth to Total Assets</t>
  </si>
  <si>
    <t>อัตราส่วนแสดงความสามารถการชำระหนี้คืนทั้งหทด</t>
  </si>
  <si>
    <t>รายได้จากสอนโยคะ/รายได้จากอาชีพเสริม</t>
  </si>
  <si>
    <t>ค่าเบี้ยประกันรถยนต์</t>
  </si>
  <si>
    <t>เงินได้สุทธิ</t>
  </si>
  <si>
    <t>ช่วงเงินได้</t>
  </si>
  <si>
    <t>อัตราภาษี</t>
  </si>
  <si>
    <t>ความมั่งคั่งสุทธิ/สินทรัพย์รวม</t>
  </si>
  <si>
    <t>สินทรัพย์เพื่อการลงทุน</t>
  </si>
  <si>
    <t>ดอกเบี้ยรับสุทธิ (หลังภาษีหัก ณ ที่จ่าย)</t>
  </si>
  <si>
    <t xml:space="preserve">ค่าผ่อนชำระสินเชื่อที่อยู่อาศัย </t>
  </si>
  <si>
    <t>0-150,000</t>
  </si>
  <si>
    <t>หนี้ระยะสั้น</t>
  </si>
  <si>
    <t>ความมั่งคั่งสุทธิ</t>
  </si>
  <si>
    <t>พันธบัตรรัฐบาลอายุ 2 ปี</t>
  </si>
  <si>
    <t>ปันผลประกัน</t>
  </si>
  <si>
    <t>กองทุนสำรองเลี้ยงชีพ(PVD)</t>
  </si>
  <si>
    <t>150,001-300,000</t>
  </si>
  <si>
    <t>เท่า</t>
  </si>
  <si>
    <t>สินทรัพย์รวม</t>
  </si>
  <si>
    <t xml:space="preserve"> @55</t>
  </si>
  <si>
    <t xml:space="preserve"> @60</t>
  </si>
  <si>
    <t xml:space="preserve"> @65</t>
  </si>
  <si>
    <t>กองทุนตราสารหนี้ในประเทศ</t>
  </si>
  <si>
    <t>กระแสเงินสดรับรวม</t>
  </si>
  <si>
    <t>ประกันสังคม</t>
  </si>
  <si>
    <t>300,001-500,000</t>
  </si>
  <si>
    <t>Basic Liquidity Ratio</t>
  </si>
  <si>
    <t>อัตราส่วนสภาพคล้องพื้นฐาน</t>
  </si>
  <si>
    <t>50%&lt;</t>
  </si>
  <si>
    <t>กองทุนรวมหุ้นระยะยาว (LTF)</t>
  </si>
  <si>
    <t>กระแสเงินสดจ่ายรวม</t>
  </si>
  <si>
    <t>500,001-750,000</t>
  </si>
  <si>
    <t>3-6เดือน</t>
  </si>
  <si>
    <t>สินทรัพย์สภาพคล่อง/กระแสเงินสดจ่ายต่อเดือน</t>
  </si>
  <si>
    <t>กองทุนสำรองเลี้ยงชีพ</t>
  </si>
  <si>
    <t>750,001-1,000,000</t>
  </si>
  <si>
    <t>มูลค่าเงินสดกรมธรรม์</t>
  </si>
  <si>
    <t xml:space="preserve">กระแสเงินสดจ่ายผันแปร </t>
  </si>
  <si>
    <t>1,000,001-2,000,000</t>
  </si>
  <si>
    <t>กระแสเงินสดจ่ายต่อเดือน</t>
  </si>
  <si>
    <t>สินทรัพย์เพื่อการลงทุนรวม</t>
  </si>
  <si>
    <t>ค่าใช้จ่ายดำรงชีพ</t>
  </si>
  <si>
    <t>2,000,001-5,000,000</t>
  </si>
  <si>
    <t>เดือน</t>
  </si>
  <si>
    <t>ภาษีเงินได้คุณปิยะ</t>
  </si>
  <si>
    <t>5,000,001+</t>
  </si>
  <si>
    <t>Liquid Assets to Net Worth</t>
  </si>
  <si>
    <t>อัตราส่วนสินทรัพที่มีสภาพคล้องตามความมั่งคั่งสุทธิ</t>
  </si>
  <si>
    <t>สินทรัพย์ใช้จ่ายส่วนตัว/สินทรัพย์มีค่า</t>
  </si>
  <si>
    <t>ค่าใช้จ่ายบุตร</t>
  </si>
  <si>
    <t>สินทรัพย์สภาพคล่อง/ความมั่งคั่งสุทธิ</t>
  </si>
  <si>
    <t>บ้านที่อยู่อาศัย</t>
  </si>
  <si>
    <t>กระแสเงินสดจ่ายผันแปรรวม</t>
  </si>
  <si>
    <t>รถยนต์</t>
  </si>
  <si>
    <t>ลดหย่อน</t>
  </si>
  <si>
    <t>สินทรัพย์ใช้จ่ายส่วนตัว/สินทรัพย์มีค่ารวม</t>
  </si>
  <si>
    <t xml:space="preserve">กระแสเงินสดจ่ายเพื่อการลงทุน </t>
  </si>
  <si>
    <t>หัก ค่าใช้จ่าย</t>
  </si>
  <si>
    <t>เงินลงทุนใน LTF</t>
  </si>
  <si>
    <t>หัก ค่าลดหย่อน</t>
  </si>
  <si>
    <t>รวมสินทรัพย์</t>
  </si>
  <si>
    <t>กระแสเงินสดจ่ายเพื่อการออมและการลงทุนรวม</t>
  </si>
  <si>
    <t>หัก ประกันสังคม</t>
  </si>
  <si>
    <t>อื่นๆ</t>
  </si>
  <si>
    <t>Debt Ratios</t>
  </si>
  <si>
    <t>อัตราส่วนหนึ้สิน</t>
  </si>
  <si>
    <t>Debt-to-Asset Ratio</t>
  </si>
  <si>
    <t>อัตราส่วนหนี้สินต่อสินทรัพย์</t>
  </si>
  <si>
    <t>หนี้สิน</t>
  </si>
  <si>
    <t>กระแสเงินสดจ่ายต่อปี</t>
  </si>
  <si>
    <t>50%&gt;</t>
  </si>
  <si>
    <t>หนี้สินรวม/สินทรัพย์รวม</t>
  </si>
  <si>
    <t>หนี้สินระยะสั้น</t>
  </si>
  <si>
    <t>หนี้สินรวม</t>
  </si>
  <si>
    <t>หนี้บัตรเครดิต</t>
  </si>
  <si>
    <t>กระแสเงินสดสุทธิ</t>
  </si>
  <si>
    <t>หนี้สินระยะสั้นรวม</t>
  </si>
  <si>
    <t>กระแสเงินสดสุทธิ/เดือน</t>
  </si>
  <si>
    <t>หนี้สินระยะยาว</t>
  </si>
  <si>
    <t xml:space="preserve">Debt Service Ratio </t>
  </si>
  <si>
    <t>อัตราส่วนแสดงการชำระหนี้สินจากรายได้(รายปี)</t>
  </si>
  <si>
    <t xml:space="preserve">หนี้ที่อยู่อาศัย </t>
  </si>
  <si>
    <t>35%-45%&gt;</t>
  </si>
  <si>
    <t>การชำระคืนหนี้สินต่อปี/รายรับรวมต่อปี</t>
  </si>
  <si>
    <t>หนี้สินระยะยาวรวม</t>
  </si>
  <si>
    <t>การชำระคืนหนี้สินต่อปี</t>
  </si>
  <si>
    <t>รายรับรวมต่อปี</t>
  </si>
  <si>
    <t>หัก ค่าลดหย่อนส่วนตัว ปิยะ</t>
  </si>
  <si>
    <t>Non-Mortgage Debt Service Ratio</t>
  </si>
  <si>
    <t>อัตราส่วนการชำระหนี้สินที่ไม่ใช่การจดจำนองจากรายได้</t>
  </si>
  <si>
    <t xml:space="preserve">หัก LTF </t>
  </si>
  <si>
    <t>15%-20%&gt;</t>
  </si>
  <si>
    <t>การชำระคืนหนี้สินไม่รวมจดจำนอง/รายรับรวม</t>
  </si>
  <si>
    <t>เบี้ยประกันสุขภาพบิดามารดา</t>
  </si>
  <si>
    <t>การชำระคืนหนี้สินไม่รวมจดจำนอง</t>
  </si>
  <si>
    <t>หัก หนี้สินรวม</t>
  </si>
  <si>
    <t>ค่าลดหย่อนบุตร (น้องดวงดาว)</t>
  </si>
  <si>
    <t>กองทุนสำรองเลี้ยงชีพ (PVD)</t>
  </si>
  <si>
    <t>ความมั่นคั่งสุทธิ</t>
  </si>
  <si>
    <t>ดอกเบี้ยเงินกู้ยืมเพื่อที่อยู่อาศัย</t>
  </si>
  <si>
    <t>เบี้ยประกันชีวิต</t>
  </si>
  <si>
    <t>เบี้ยประกันสุขภาพ</t>
  </si>
  <si>
    <t>Savings &amp; Investment Ratios</t>
  </si>
  <si>
    <t>อัตราส่วนการออมและการลงทุน</t>
  </si>
  <si>
    <t>ปิยะ</t>
  </si>
  <si>
    <t>smart protection(แนบอุบัติเหตุหริอโรคร้ายแรง)</t>
  </si>
  <si>
    <t>99/20</t>
  </si>
  <si>
    <t>ค่าลดหย่อนบิดามารดา</t>
  </si>
  <si>
    <t>Savings/Investment Ratio</t>
  </si>
  <si>
    <t>อัตราส่วนการออม</t>
  </si>
  <si>
    <t>ทุพพลภาพ TPD</t>
  </si>
  <si>
    <t>10%&lt;</t>
  </si>
  <si>
    <t>เงินออม/รายได้รวม</t>
  </si>
  <si>
    <t>D health plus 5ล้าน D0</t>
  </si>
  <si>
    <t>เงินบริจาค (หลังหักค่าใช้จ่าย)</t>
  </si>
  <si>
    <t>เงินออม</t>
  </si>
  <si>
    <t>mutiple CI</t>
  </si>
  <si>
    <t>รายได้รวม</t>
  </si>
  <si>
    <t>care plus ไต+มะเร็ง 5ล้าน</t>
  </si>
  <si>
    <t>CI Perfect care</t>
  </si>
  <si>
    <t>Investment Assets to Net Worth</t>
  </si>
  <si>
    <t>อัตราส่วนการลงทุน</t>
  </si>
  <si>
    <t>50%&lt;=</t>
  </si>
  <si>
    <t>สินทรัพย์ที่ลงทุนรวม/ความมั่งคั่งสุทธิ</t>
  </si>
  <si>
    <t>ดวงตา</t>
  </si>
  <si>
    <t>สินทรัพย์ที่ลงทุนรวม</t>
  </si>
  <si>
    <t>ดวงดาว</t>
  </si>
  <si>
    <t>Elite health plus 20ล้าน ทั่วโลก</t>
  </si>
  <si>
    <t>Total Savings Rate</t>
  </si>
  <si>
    <t>อัตราเก็บเงินทั้งหมด</t>
  </si>
  <si>
    <t>(เงินออม/ลงทุน + เงินเหลือสุทธิ) ÷ รายได้รวม</t>
  </si>
  <si>
    <t>เงินออม/ลงทุน + เงินเหลือสุทธิ</t>
  </si>
  <si>
    <t>10%-20%</t>
  </si>
  <si>
    <t>Elite health plus 20ล้าน ในไทย</t>
  </si>
  <si>
    <t>อายุ 45</t>
  </si>
  <si>
    <t>เบี้ยปนะกัน</t>
  </si>
  <si>
    <t xml:space="preserve"> </t>
  </si>
  <si>
    <t>อายุ 44</t>
  </si>
  <si>
    <t>อายุ 16</t>
  </si>
  <si>
    <t>เงินลงทุนใน rmf/esg</t>
  </si>
  <si>
    <t>งวดที่ชำระ</t>
  </si>
  <si>
    <t>ร้อยละของเงินต้นชำระ</t>
  </si>
  <si>
    <t>เงินต้น</t>
  </si>
  <si>
    <t>ดอกเบี้ย 1%</t>
  </si>
  <si>
    <t>เงินต้น + ดอกเบี้ย</t>
  </si>
  <si>
    <t>รวม</t>
  </si>
  <si>
    <t>1to3</t>
  </si>
  <si>
    <t>4to5</t>
  </si>
  <si>
    <t>6to10</t>
  </si>
  <si>
    <t>11to15</t>
  </si>
  <si>
    <t>ปีที่</t>
  </si>
  <si>
    <t>เงินเดือน</t>
  </si>
  <si>
    <t>รายได้เสริม</t>
  </si>
  <si>
    <t>เงินเดือน+รายได้เสริม</t>
  </si>
  <si>
    <t>รายได้รวมต่อเดือน</t>
  </si>
  <si>
    <t>เงินเดือนปีแรก</t>
  </si>
  <si>
    <t>ประกันสังคม 2025</t>
  </si>
  <si>
    <t>เงินสูงสุดประกันสังคม</t>
  </si>
  <si>
    <t>ต่อเดือน</t>
  </si>
  <si>
    <t>ต่อปี</t>
  </si>
  <si>
    <t>ประกันสังคม 2026-2028</t>
  </si>
  <si>
    <t>ประกันสังคม 2029-2031</t>
  </si>
  <si>
    <t>ประกันสังคม 2032-2034</t>
  </si>
  <si>
    <t>วิน</t>
  </si>
  <si>
    <t>เทียว</t>
  </si>
  <si>
    <t>วันที่ทำงาน</t>
  </si>
  <si>
    <t>ปีหน่วยวัน</t>
  </si>
  <si>
    <t>อาทิตย์</t>
  </si>
  <si>
    <t>หยุดราชการ (นักขัตฤกษ์)</t>
  </si>
  <si>
    <t>วันอาทิตย์และวันหยุด</t>
  </si>
  <si>
    <t>กู้รถ</t>
  </si>
  <si>
    <t>กู้บ้าน</t>
  </si>
  <si>
    <t>รุ่นรถ</t>
  </si>
  <si>
    <t>Corolla Cross HEV Premium</t>
  </si>
  <si>
    <t>บ้านเดี่ยว</t>
  </si>
  <si>
    <t>แถวที่ทำงาน</t>
  </si>
  <si>
    <t>ราคารถยนต์</t>
  </si>
  <si>
    <t>ราคาบ้าน</t>
  </si>
  <si>
    <t>เงินดาวน์</t>
  </si>
  <si>
    <t>273,500(25%)</t>
  </si>
  <si>
    <t>878,000(20%)</t>
  </si>
  <si>
    <t>วงเงินอนุมัติสินเชื่อ</t>
  </si>
  <si>
    <t>อัตราดอกเบี้ย</t>
  </si>
  <si>
    <t>ระยะเวลาผ่อนชำระ</t>
  </si>
  <si>
    <t>84 เดือน</t>
  </si>
  <si>
    <t>360 เดือน</t>
  </si>
  <si>
    <t>จำนวนเงินที่ต้องผ่อนชำระต่อเดือน</t>
  </si>
  <si>
    <t>จำนวนที่ต้องผ่อนชำระต่อเดือน</t>
  </si>
  <si>
    <t>จำนวนเงินที่ต้องผ่อนชำระต่อปี</t>
  </si>
  <si>
    <t>จำนวนเงินที่ต้องผ่อนชำระทั้งหมด</t>
  </si>
  <si>
    <t>ssf</t>
  </si>
  <si>
    <t>rmf</t>
  </si>
  <si>
    <t>etf s&amp;p</t>
  </si>
  <si>
    <t>etf พัทธบัตร</t>
  </si>
  <si>
    <t>ลงทุน</t>
  </si>
  <si>
    <t>etf พัทธบัตร/ssf</t>
  </si>
  <si>
    <t>ssf/rmf</t>
  </si>
  <si>
    <t>ssf/rmf/etf พัทธบัตร</t>
  </si>
  <si>
    <t>Junior Financial Advisor</t>
  </si>
  <si>
    <t>เงินเดือนได้รายเดือน</t>
  </si>
  <si>
    <t>เงินเดือนได้รายปี</t>
  </si>
  <si>
    <t>รายได้เสริมจากตำแหน่ง</t>
  </si>
  <si>
    <t>รายได้รวมฉลี่ยต่อเดือน</t>
  </si>
  <si>
    <t>เงินสด (Cash)</t>
  </si>
  <si>
    <t>หนี้สินระยะสั้น (ชำระภายใน 1 ปี)</t>
  </si>
  <si>
    <t>ธนบัตร เหรียญในมือ</t>
  </si>
  <si>
    <t>กยศ.</t>
  </si>
  <si>
    <t>เงินสดย่อยในบริษัทต่าง ๆ</t>
  </si>
  <si>
    <t>เงินฝากธนาคาร (Bank Deposits)</t>
  </si>
  <si>
    <t>หนี้สินระยะสั้น รวม</t>
  </si>
  <si>
    <t>บัญชีเงินฝากกระแสรายวัน (Demand Deposit)</t>
  </si>
  <si>
    <t>month</t>
  </si>
  <si>
    <t>บัญชีเงินฝากออมทรัพย์ (Savings Deposit)</t>
  </si>
  <si>
    <t>หนี้สินระยะยาว (ชำระเกิน 1 ปี)</t>
  </si>
  <si>
    <t>– ค่าเช่าที่พัก (คอนโด/บ้าน) =</t>
  </si>
  <si>
    <t>– อาหาร (ของสด/นอกบ้าน) =</t>
  </si>
  <si>
    <t>หลักทรัพย์ที่ใกล้เคียงเงินสด (Cash Equivalents)</t>
  </si>
  <si>
    <t>– เดินทาง (น้ำมัน/รถสาธารณะ) =</t>
  </si>
  <si>
    <t>ตั๋วเงินคลัง (Treasury Bills) ที่ใกล้ครบกำหนด</t>
  </si>
  <si>
    <t>– สาธารณูปโภค (เน็ต/มือถือ/ไฟ) =</t>
  </si>
  <si>
    <t>ตั๋วสัญญาใช้เงิน (Commercial Papers) ที่มีคุณภาพสูง</t>
  </si>
  <si>
    <t>หนี้สินระยะยาว รวม</t>
  </si>
  <si>
    <t>กองทุนรวมตลาดเงิน (Money Market Funds)</t>
  </si>
  <si>
    <t>พันธบัตรหรือหุ้นกู้ที่เหลืออายุต่ำมาก เช่น ไม่เกิน 3 เดือน และมีสภาพคล่องสูง</t>
  </si>
  <si>
    <t>เช็คที่รอขึ้นเงิน (Outstanding Checks / Checks on Hand)</t>
  </si>
  <si>
    <t>เช็คที่ได้รับมาแล้ว แต่ยังไม่ได้นำเข้าธนาคาร</t>
  </si>
  <si>
    <t>– สุขภาพ–ฟิตเนส =</t>
  </si>
  <si>
    <t>– สังสรรค์–ท่องเที่ยว =</t>
  </si>
  <si>
    <t>คอม</t>
  </si>
  <si>
    <t>ค่า เสื้อผ้าและอื่นๆ</t>
  </si>
  <si>
    <t>ภาษี</t>
  </si>
  <si>
    <t>ปี</t>
  </si>
  <si>
    <t>อัตราส่วนหนึ้สินต่อสินทรัพย์</t>
  </si>
  <si>
    <t>อัตราส่วนแสดงการชำระหน้สินจากรายได้(รายปี)</t>
  </si>
  <si>
    <t>อัตราส่วนแสดงการชำระหน้สินจากรายได้(รายเดือน)</t>
  </si>
  <si>
    <t>การชำระคืนหนี้สินต่อเดือน/รายรับรวมต่อเดือน</t>
  </si>
  <si>
    <t>การชำระคืนหนี้สินต่อเดือน</t>
  </si>
  <si>
    <t>รายรับรวมต่อเดือน</t>
  </si>
  <si>
    <t>ให้เงินเลี้ยงดูกับน้า</t>
  </si>
  <si>
    <t>บ้าน</t>
  </si>
  <si>
    <t>ค่าใช้จ่ายรวม</t>
  </si>
  <si>
    <t>รวมเฉลี่ย</t>
  </si>
  <si>
    <t>ETF พัทธบัตร</t>
  </si>
  <si>
    <t>ETF s&amp;p</t>
  </si>
  <si>
    <t>SSF-ตราสารหนี้ไทย</t>
  </si>
  <si>
    <t>RMF-Global 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</si>
</sst>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_-;\-* #,##0_-;_-* &quot;-&quot;??_-;_-@"/>
    <numFmt numFmtId="188" formatCode="_-* #,##0.00_-;\-* #,##0.00_-;_-* &quot;-&quot;??_-;_-@"/>
    <numFmt numFmtId="189" formatCode="0.000000%"/>
    <numFmt numFmtId="190" formatCode="_-* #,##0.0_-;\-* #,##0.0_-;_-* &quot;-&quot;?_-;_-@"/>
    <numFmt numFmtId="191" formatCode="_-* #,##0_-;\-* #,##0_-;_-* &quot;-&quot;_-;_-@"/>
    <numFmt numFmtId="192" formatCode="_-* #,##0.000_-;\-* #,##0.000_-;_-* &quot;-&quot;_-;_-@"/>
    <numFmt numFmtId="193" formatCode="_-* #,##0.00_-;\-* #,##0.00_-;_-* &quot;-&quot;_-;_-@"/>
  </numFmts>
  <fonts count="17" x14ac:knownFonts="1">
    <font>
      <sz val="11"/>
      <color rgb="FF000000"/>
      <name val="Arial"/>
      <scheme val="minor"/>
    </font>
    <font>
      <sz val="11"/>
      <color theme="1"/>
      <name val="Arial"/>
      <scheme val="minor"/>
    </font>
    <font>
      <sz val="11"/>
      <color theme="1"/>
      <name val="Tahoma"/>
    </font>
    <font>
      <b/>
      <sz val="11"/>
      <color theme="1"/>
      <name val="Tahoma"/>
    </font>
    <font>
      <sz val="11"/>
      <color theme="1"/>
      <name val="Calibri"/>
    </font>
    <font>
      <sz val="8"/>
      <color theme="1"/>
      <name val="Tahoma"/>
    </font>
    <font>
      <sz val="11"/>
      <color rgb="FF9C5700"/>
      <name val="Tahoma"/>
    </font>
    <font>
      <b/>
      <sz val="11"/>
      <color rgb="FFFA7D00"/>
      <name val="Tahoma"/>
    </font>
    <font>
      <sz val="10"/>
      <color rgb="FF00B050"/>
      <name val="Tahoma"/>
    </font>
    <font>
      <i/>
      <sz val="11"/>
      <color rgb="FF7F7F7F"/>
      <name val="Tahoma"/>
    </font>
    <font>
      <sz val="11"/>
      <name val="Arial"/>
    </font>
    <font>
      <u/>
      <sz val="11"/>
      <color theme="1"/>
      <name val="Tahoma"/>
    </font>
    <font>
      <u/>
      <sz val="11"/>
      <color theme="1"/>
      <name val="Tahoma"/>
    </font>
    <font>
      <u/>
      <sz val="11"/>
      <color theme="1"/>
      <name val="Tahoma"/>
    </font>
    <font>
      <sz val="10"/>
      <color theme="1"/>
      <name val="Tahoma"/>
    </font>
    <font>
      <sz val="16"/>
      <color rgb="FF00B050"/>
      <name val="Tahoma"/>
    </font>
    <font>
      <b/>
      <sz val="22"/>
      <color theme="1"/>
      <name val="Tahoma"/>
    </font>
  </fonts>
  <fills count="11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0000"/>
        <bgColor rgb="FFFF0000"/>
      </patternFill>
    </fill>
    <fill>
      <patternFill patternType="solid">
        <fgColor rgb="FFFFEB9C"/>
        <bgColor rgb="FFFFEB9C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262626"/>
        <bgColor rgb="FF262626"/>
      </patternFill>
    </fill>
    <fill>
      <patternFill patternType="solid">
        <fgColor rgb="FF002060"/>
        <bgColor rgb="FF002060"/>
      </patternFill>
    </fill>
    <fill>
      <patternFill patternType="solid">
        <fgColor rgb="FFFFC000"/>
        <bgColor rgb="FFFFC000"/>
      </patternFill>
    </fill>
    <fill>
      <patternFill patternType="solid">
        <fgColor rgb="FFD9E2F3"/>
        <bgColor rgb="FFD9E2F3"/>
      </patternFill>
    </fill>
  </fills>
  <borders count="1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2" fillId="0" borderId="0" xfId="0" applyNumberFormat="1" applyFont="1"/>
    <xf numFmtId="187" fontId="2" fillId="0" borderId="0" xfId="0" applyNumberFormat="1" applyFont="1"/>
    <xf numFmtId="187" fontId="5" fillId="0" borderId="0" xfId="0" applyNumberFormat="1" applyFont="1"/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right" vertical="center"/>
    </xf>
    <xf numFmtId="188" fontId="2" fillId="0" borderId="0" xfId="0" applyNumberFormat="1" applyFont="1"/>
    <xf numFmtId="3" fontId="4" fillId="0" borderId="5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0" fontId="7" fillId="5" borderId="7" xfId="0" applyFont="1" applyFill="1" applyBorder="1"/>
    <xf numFmtId="3" fontId="7" fillId="5" borderId="7" xfId="0" applyNumberFormat="1" applyFont="1" applyFill="1" applyBorder="1"/>
    <xf numFmtId="187" fontId="8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2" fillId="0" borderId="9" xfId="0" applyFont="1" applyBorder="1"/>
    <xf numFmtId="0" fontId="2" fillId="6" borderId="9" xfId="0" applyFont="1" applyFill="1" applyBorder="1" applyAlignment="1">
      <alignment horizontal="center" vertical="center"/>
    </xf>
    <xf numFmtId="188" fontId="2" fillId="2" borderId="1" xfId="0" applyNumberFormat="1" applyFont="1" applyFill="1" applyBorder="1" applyAlignment="1">
      <alignment horizontal="right" vertical="center"/>
    </xf>
    <xf numFmtId="188" fontId="2" fillId="0" borderId="9" xfId="0" applyNumberFormat="1" applyFont="1" applyBorder="1" applyAlignment="1">
      <alignment horizontal="center" vertical="center"/>
    </xf>
    <xf numFmtId="187" fontId="2" fillId="0" borderId="9" xfId="0" applyNumberFormat="1" applyFont="1" applyBorder="1" applyAlignment="1">
      <alignment horizontal="center" vertical="center"/>
    </xf>
    <xf numFmtId="9" fontId="3" fillId="7" borderId="9" xfId="0" applyNumberFormat="1" applyFont="1" applyFill="1" applyBorder="1" applyAlignment="1">
      <alignment horizontal="center" vertical="center"/>
    </xf>
    <xf numFmtId="187" fontId="7" fillId="5" borderId="7" xfId="0" applyNumberFormat="1" applyFont="1" applyFill="1" applyBorder="1"/>
    <xf numFmtId="3" fontId="2" fillId="0" borderId="9" xfId="0" applyNumberFormat="1" applyFont="1" applyBorder="1"/>
    <xf numFmtId="0" fontId="2" fillId="0" borderId="0" xfId="0" applyFont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88" fontId="7" fillId="5" borderId="7" xfId="0" applyNumberFormat="1" applyFont="1" applyFill="1" applyBorder="1" applyAlignment="1">
      <alignment horizontal="right" vertical="center"/>
    </xf>
    <xf numFmtId="188" fontId="6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10" fontId="2" fillId="0" borderId="0" xfId="0" applyNumberFormat="1" applyFont="1"/>
    <xf numFmtId="188" fontId="9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187" fontId="3" fillId="2" borderId="1" xfId="0" applyNumberFormat="1" applyFont="1" applyFill="1" applyBorder="1"/>
    <xf numFmtId="9" fontId="9" fillId="0" borderId="1" xfId="0" applyNumberFormat="1" applyFont="1" applyBorder="1" applyAlignment="1">
      <alignment horizontal="right" vertical="center"/>
    </xf>
    <xf numFmtId="188" fontId="2" fillId="0" borderId="9" xfId="0" applyNumberFormat="1" applyFont="1" applyBorder="1"/>
    <xf numFmtId="10" fontId="7" fillId="5" borderId="7" xfId="0" applyNumberFormat="1" applyFont="1" applyFill="1" applyBorder="1" applyAlignment="1">
      <alignment horizontal="right" vertical="center"/>
    </xf>
    <xf numFmtId="0" fontId="2" fillId="0" borderId="0" xfId="0" applyFont="1"/>
    <xf numFmtId="188" fontId="2" fillId="0" borderId="0" xfId="0" applyNumberFormat="1" applyFont="1" applyAlignment="1">
      <alignment horizontal="right" vertical="center"/>
    </xf>
    <xf numFmtId="0" fontId="3" fillId="2" borderId="1" xfId="0" applyFont="1" applyFill="1" applyBorder="1"/>
    <xf numFmtId="3" fontId="3" fillId="2" borderId="1" xfId="0" applyNumberFormat="1" applyFont="1" applyFill="1" applyBorder="1"/>
    <xf numFmtId="0" fontId="2" fillId="2" borderId="12" xfId="0" applyFont="1" applyFill="1" applyBorder="1" applyAlignment="1">
      <alignment horizontal="center" vertical="center"/>
    </xf>
    <xf numFmtId="188" fontId="3" fillId="3" borderId="12" xfId="0" applyNumberFormat="1" applyFont="1" applyFill="1" applyBorder="1" applyAlignment="1">
      <alignment horizontal="center" vertical="center"/>
    </xf>
    <xf numFmtId="188" fontId="2" fillId="0" borderId="13" xfId="0" applyNumberFormat="1" applyFont="1" applyBorder="1"/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/>
    </xf>
    <xf numFmtId="188" fontId="2" fillId="2" borderId="14" xfId="0" applyNumberFormat="1" applyFont="1" applyFill="1" applyBorder="1" applyAlignment="1">
      <alignment horizontal="right" vertical="center"/>
    </xf>
    <xf numFmtId="0" fontId="11" fillId="0" borderId="15" xfId="0" applyFont="1" applyBorder="1"/>
    <xf numFmtId="188" fontId="12" fillId="0" borderId="0" xfId="0" applyNumberFormat="1" applyFont="1"/>
    <xf numFmtId="3" fontId="13" fillId="0" borderId="0" xfId="0" applyNumberFormat="1" applyFont="1"/>
    <xf numFmtId="0" fontId="3" fillId="0" borderId="15" xfId="0" applyFont="1" applyBorder="1"/>
    <xf numFmtId="3" fontId="3" fillId="0" borderId="15" xfId="0" applyNumberFormat="1" applyFont="1" applyBorder="1"/>
    <xf numFmtId="0" fontId="14" fillId="0" borderId="0" xfId="0" applyFont="1" applyAlignment="1">
      <alignment vertical="top"/>
    </xf>
    <xf numFmtId="188" fontId="3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2" fontId="2" fillId="0" borderId="0" xfId="0" applyNumberFormat="1" applyFont="1"/>
    <xf numFmtId="0" fontId="14" fillId="0" borderId="0" xfId="0" applyFont="1" applyAlignment="1">
      <alignment vertical="top" wrapText="1"/>
    </xf>
    <xf numFmtId="187" fontId="2" fillId="0" borderId="9" xfId="0" applyNumberFormat="1" applyFont="1" applyBorder="1"/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189" fontId="2" fillId="0" borderId="0" xfId="0" applyNumberFormat="1" applyFont="1"/>
    <xf numFmtId="10" fontId="14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0" fontId="14" fillId="0" borderId="0" xfId="0" applyNumberFormat="1" applyFont="1" applyAlignment="1">
      <alignment vertical="top"/>
    </xf>
    <xf numFmtId="0" fontId="2" fillId="9" borderId="4" xfId="0" applyFont="1" applyFill="1" applyBorder="1"/>
    <xf numFmtId="187" fontId="14" fillId="0" borderId="0" xfId="0" applyNumberFormat="1" applyFont="1" applyAlignment="1">
      <alignment vertical="top"/>
    </xf>
    <xf numFmtId="0" fontId="2" fillId="3" borderId="4" xfId="0" applyFont="1" applyFill="1" applyBorder="1"/>
    <xf numFmtId="0" fontId="2" fillId="0" borderId="9" xfId="0" applyFont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2" fontId="2" fillId="6" borderId="9" xfId="0" applyNumberFormat="1" applyFont="1" applyFill="1" applyBorder="1" applyAlignment="1">
      <alignment horizontal="center" vertical="center"/>
    </xf>
    <xf numFmtId="187" fontId="2" fillId="6" borderId="9" xfId="0" applyNumberFormat="1" applyFont="1" applyFill="1" applyBorder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16" fontId="2" fillId="0" borderId="0" xfId="0" applyNumberFormat="1" applyFont="1"/>
    <xf numFmtId="9" fontId="2" fillId="0" borderId="0" xfId="0" applyNumberFormat="1" applyFont="1"/>
    <xf numFmtId="9" fontId="2" fillId="0" borderId="0" xfId="0" applyNumberFormat="1" applyFont="1" applyAlignment="1">
      <alignment horizontal="right"/>
    </xf>
    <xf numFmtId="190" fontId="2" fillId="0" borderId="0" xfId="0" applyNumberFormat="1" applyFont="1"/>
    <xf numFmtId="191" fontId="2" fillId="0" borderId="0" xfId="0" applyNumberFormat="1" applyFont="1"/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187" fontId="2" fillId="0" borderId="9" xfId="0" applyNumberFormat="1" applyFont="1" applyBorder="1" applyAlignment="1">
      <alignment horizontal="right" vertical="center"/>
    </xf>
    <xf numFmtId="9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10" fontId="2" fillId="0" borderId="9" xfId="0" applyNumberFormat="1" applyFont="1" applyBorder="1" applyAlignment="1">
      <alignment horizontal="right" vertical="center"/>
    </xf>
    <xf numFmtId="2" fontId="2" fillId="0" borderId="9" xfId="0" applyNumberFormat="1" applyFont="1" applyBorder="1" applyAlignment="1">
      <alignment horizontal="right" vertical="center"/>
    </xf>
    <xf numFmtId="187" fontId="1" fillId="0" borderId="0" xfId="0" applyNumberFormat="1" applyFont="1"/>
    <xf numFmtId="191" fontId="3" fillId="2" borderId="1" xfId="0" applyNumberFormat="1" applyFont="1" applyFill="1" applyBorder="1"/>
    <xf numFmtId="188" fontId="3" fillId="2" borderId="1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92" fontId="2" fillId="0" borderId="0" xfId="0" applyNumberFormat="1" applyFont="1"/>
    <xf numFmtId="9" fontId="2" fillId="0" borderId="0" xfId="0" applyNumberFormat="1" applyFont="1" applyAlignment="1">
      <alignment vertical="center" wrapText="1"/>
    </xf>
    <xf numFmtId="187" fontId="15" fillId="0" borderId="8" xfId="0" applyNumberFormat="1" applyFont="1" applyBorder="1" applyAlignment="1">
      <alignment horizontal="center" vertical="center"/>
    </xf>
    <xf numFmtId="187" fontId="16" fillId="2" borderId="1" xfId="0" applyNumberFormat="1" applyFont="1" applyFill="1" applyBorder="1"/>
    <xf numFmtId="193" fontId="2" fillId="0" borderId="0" xfId="0" applyNumberFormat="1" applyFont="1"/>
    <xf numFmtId="188" fontId="1" fillId="0" borderId="0" xfId="0" applyNumberFormat="1" applyFont="1"/>
    <xf numFmtId="192" fontId="1" fillId="0" borderId="0" xfId="0" applyNumberFormat="1" applyFont="1"/>
    <xf numFmtId="0" fontId="2" fillId="0" borderId="10" xfId="0" applyFont="1" applyBorder="1" applyAlignment="1">
      <alignment horizontal="center" vertical="center"/>
    </xf>
    <xf numFmtId="0" fontId="10" fillId="0" borderId="11" xfId="0" applyFont="1" applyBorder="1"/>
  </cellXfs>
  <cellStyles count="1">
    <cellStyle name="ปกติ" xfId="0" builtinId="0"/>
  </cellStyles>
  <dxfs count="527"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00B050"/>
      </font>
      <fill>
        <patternFill patternType="none"/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ค่าใช้จ่ายรวม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GRAPH!$A$5:$A$19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GRAPH!$B$5:$B$19</c:f>
              <c:numCache>
                <c:formatCode>_-* #,##0.00_-;\-* #,##0.00_-;_-* "-"??_-;_-@</c:formatCode>
                <c:ptCount val="15"/>
                <c:pt idx="0">
                  <c:v>405624</c:v>
                </c:pt>
                <c:pt idx="1">
                  <c:v>281968.40000000002</c:v>
                </c:pt>
                <c:pt idx="2">
                  <c:v>318584.30000000005</c:v>
                </c:pt>
                <c:pt idx="3">
                  <c:v>384918.44</c:v>
                </c:pt>
                <c:pt idx="4">
                  <c:v>413252.18150000001</c:v>
                </c:pt>
                <c:pt idx="5">
                  <c:v>417825.77802500001</c:v>
                </c:pt>
                <c:pt idx="6">
                  <c:v>580607.06376687507</c:v>
                </c:pt>
                <c:pt idx="7">
                  <c:v>596323.39600821876</c:v>
                </c:pt>
                <c:pt idx="8">
                  <c:v>647694.16467222967</c:v>
                </c:pt>
                <c:pt idx="9">
                  <c:v>838474.03718210559</c:v>
                </c:pt>
                <c:pt idx="10">
                  <c:v>855875.86460611201</c:v>
                </c:pt>
                <c:pt idx="11">
                  <c:v>958115.55867955287</c:v>
                </c:pt>
                <c:pt idx="12">
                  <c:v>1111484.8501277203</c:v>
                </c:pt>
                <c:pt idx="13">
                  <c:v>1001442.0740414208</c:v>
                </c:pt>
                <c:pt idx="14">
                  <c:v>1141660.6836813632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9C-42BB-A55F-4FA740474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715711"/>
        <c:axId val="1199311922"/>
      </c:scatterChart>
      <c:valAx>
        <c:axId val="187171571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199311922"/>
        <c:crosses val="autoZero"/>
        <c:crossBetween val="midCat"/>
      </c:valAx>
      <c:valAx>
        <c:axId val="11993119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871715711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 เงินออม/รายได้รวม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GRAPH!$AE$4:$AE$18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GRAPH!$AF$4:$AF$18</c:f>
              <c:numCache>
                <c:formatCode>0%</c:formatCode>
                <c:ptCount val="15"/>
                <c:pt idx="0">
                  <c:v>0.18154963680387409</c:v>
                </c:pt>
                <c:pt idx="1">
                  <c:v>0.53621660863215337</c:v>
                </c:pt>
                <c:pt idx="2">
                  <c:v>0.84131459958748089</c:v>
                </c:pt>
                <c:pt idx="3">
                  <c:v>0.97186688293366552</c:v>
                </c:pt>
                <c:pt idx="4">
                  <c:v>1.0907982745838385</c:v>
                </c:pt>
                <c:pt idx="5">
                  <c:v>1.2029839524845058</c:v>
                </c:pt>
                <c:pt idx="6">
                  <c:v>0.82665666621764944</c:v>
                </c:pt>
                <c:pt idx="7">
                  <c:v>0.88940480268590583</c:v>
                </c:pt>
                <c:pt idx="8">
                  <c:v>0.94882492708615196</c:v>
                </c:pt>
                <c:pt idx="9">
                  <c:v>1.2228158253211961E-2</c:v>
                </c:pt>
                <c:pt idx="10">
                  <c:v>0.17225026709154581</c:v>
                </c:pt>
                <c:pt idx="11">
                  <c:v>0.33115728496133467</c:v>
                </c:pt>
                <c:pt idx="12">
                  <c:v>0.48402321558840905</c:v>
                </c:pt>
                <c:pt idx="13">
                  <c:v>0.71651223954739041</c:v>
                </c:pt>
                <c:pt idx="14">
                  <c:v>0.92374090209646675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010-480C-B513-C09455CBC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189892"/>
        <c:axId val="1792068461"/>
      </c:scatterChart>
      <c:valAx>
        <c:axId val="197218989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792068461"/>
        <c:crosses val="autoZero"/>
        <c:crossBetween val="midCat"/>
      </c:valAx>
      <c:valAx>
        <c:axId val="17920684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972189892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 สินทรัพย์ที่ลงทุนรวม/ความมั่งคั่งสุทธิ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GRAPH!$AE$23:$AE$37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GRAPH!$AF$23:$AF$37</c:f>
              <c:numCache>
                <c:formatCode>0%</c:formatCode>
                <c:ptCount val="15"/>
                <c:pt idx="0">
                  <c:v>0</c:v>
                </c:pt>
                <c:pt idx="1">
                  <c:v>-0.57742044077109145</c:v>
                </c:pt>
                <c:pt idx="2">
                  <c:v>0.62389582554467959</c:v>
                </c:pt>
                <c:pt idx="3">
                  <c:v>0.51862798518111752</c:v>
                </c:pt>
                <c:pt idx="4">
                  <c:v>0.4913431476346859</c:v>
                </c:pt>
                <c:pt idx="5">
                  <c:v>0.49246744015928623</c:v>
                </c:pt>
                <c:pt idx="6">
                  <c:v>0.62235598395103853</c:v>
                </c:pt>
                <c:pt idx="7">
                  <c:v>0.50921568345203294</c:v>
                </c:pt>
                <c:pt idx="8">
                  <c:v>0.45144536664195206</c:v>
                </c:pt>
                <c:pt idx="9">
                  <c:v>0.76286496897683154</c:v>
                </c:pt>
                <c:pt idx="10">
                  <c:v>0.54401068387950746</c:v>
                </c:pt>
                <c:pt idx="11">
                  <c:v>0.44880205439930237</c:v>
                </c:pt>
                <c:pt idx="12">
                  <c:v>0.39975130604944953</c:v>
                </c:pt>
                <c:pt idx="13">
                  <c:v>0.37378450598788199</c:v>
                </c:pt>
                <c:pt idx="14">
                  <c:v>0.37000953071090881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A0-43C9-BC90-DC8F17A1C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61803"/>
        <c:axId val="416800163"/>
      </c:scatterChart>
      <c:valAx>
        <c:axId val="4266180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416800163"/>
        <c:crosses val="autoZero"/>
        <c:crossBetween val="midCat"/>
      </c:valAx>
      <c:valAx>
        <c:axId val="4168001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42661803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ความมั่งคั่งสุทธิ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GRAPH!$A$41:$A$55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GRAPH!$B$41:$B$55</c:f>
              <c:numCache>
                <c:formatCode>_-* #,##0.00_-;\-* #,##0.00_-;_-* "-"??_-;_-@</c:formatCode>
                <c:ptCount val="15"/>
                <c:pt idx="0">
                  <c:v>-329640.00000000006</c:v>
                </c:pt>
                <c:pt idx="1">
                  <c:v>-85468.400000000081</c:v>
                </c:pt>
                <c:pt idx="2">
                  <c:v>157455.99204199982</c:v>
                </c:pt>
                <c:pt idx="3">
                  <c:v>371714.61680696986</c:v>
                </c:pt>
                <c:pt idx="4">
                  <c:v>599274.80640416383</c:v>
                </c:pt>
                <c:pt idx="5">
                  <c:v>866702.34356785135</c:v>
                </c:pt>
                <c:pt idx="6">
                  <c:v>805038.82812156854</c:v>
                </c:pt>
                <c:pt idx="7">
                  <c:v>1187069.6617049417</c:v>
                </c:pt>
                <c:pt idx="8">
                  <c:v>1604243.2279176787</c:v>
                </c:pt>
                <c:pt idx="9">
                  <c:v>1066146.0393065307</c:v>
                </c:pt>
                <c:pt idx="10">
                  <c:v>1748943.6721245898</c:v>
                </c:pt>
                <c:pt idx="11">
                  <c:v>2579900.6763167996</c:v>
                </c:pt>
                <c:pt idx="12">
                  <c:v>3595825.9270884059</c:v>
                </c:pt>
                <c:pt idx="13">
                  <c:v>5182077.7951247878</c:v>
                </c:pt>
                <c:pt idx="14">
                  <c:v>7112552.9183066543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0A6-4AAF-B73F-5FD8CE8D0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7899401"/>
        <c:axId val="1779721363"/>
      </c:scatterChart>
      <c:valAx>
        <c:axId val="181789940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779721363"/>
        <c:crosses val="autoZero"/>
        <c:crossBetween val="midCat"/>
      </c:valAx>
      <c:valAx>
        <c:axId val="17797213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817899401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ภาษี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GRAPH!$A$59:$A$73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GRAPH!$B$59:$B$73</c:f>
              <c:numCache>
                <c:formatCode>_-* #,##0_-;\-* #,##0_-;_-* "-"??_-;_-@</c:formatCode>
                <c:ptCount val="15"/>
                <c:pt idx="0">
                  <c:v>10160</c:v>
                </c:pt>
                <c:pt idx="1">
                  <c:v>12638</c:v>
                </c:pt>
                <c:pt idx="2">
                  <c:v>15239.900000000001</c:v>
                </c:pt>
                <c:pt idx="3">
                  <c:v>18653.240000000005</c:v>
                </c:pt>
                <c:pt idx="4">
                  <c:v>22305.381499999996</c:v>
                </c:pt>
                <c:pt idx="5">
                  <c:v>23984.578025000006</c:v>
                </c:pt>
                <c:pt idx="6">
                  <c:v>34574.663766875012</c:v>
                </c:pt>
                <c:pt idx="7">
                  <c:v>44842.996008218775</c:v>
                </c:pt>
                <c:pt idx="8">
                  <c:v>56604.164672229716</c:v>
                </c:pt>
                <c:pt idx="9">
                  <c:v>63732.033207165987</c:v>
                </c:pt>
                <c:pt idx="10">
                  <c:v>89601.060631172426</c:v>
                </c:pt>
                <c:pt idx="11">
                  <c:v>128346.35470461322</c:v>
                </c:pt>
                <c:pt idx="12">
                  <c:v>194259.64615278074</c:v>
                </c:pt>
                <c:pt idx="13">
                  <c:v>255243.2700664812</c:v>
                </c:pt>
                <c:pt idx="14">
                  <c:v>392082.67970642372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23-4083-9FCF-8593B4CAA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9701505"/>
        <c:axId val="1560411290"/>
      </c:scatterChart>
      <c:valAx>
        <c:axId val="201970150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560411290"/>
        <c:crosses val="autoZero"/>
        <c:crossBetween val="midCat"/>
      </c:valAx>
      <c:valAx>
        <c:axId val="15604112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* #,##0_-;\-* #,##0_-;_-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2019701505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สินทรัพย์รวม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GRAPH!$A$77:$A$91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GRAPH!$B$77:$B$91</c:f>
              <c:numCache>
                <c:formatCode>_-* #,##0.00_-;\-* #,##0.00_-;_-* "-"??_-;_-@</c:formatCode>
                <c:ptCount val="15"/>
                <c:pt idx="0">
                  <c:v>89976</c:v>
                </c:pt>
                <c:pt idx="1">
                  <c:v>328387.59999999998</c:v>
                </c:pt>
                <c:pt idx="2">
                  <c:v>557929.59204199992</c:v>
                </c:pt>
                <c:pt idx="3">
                  <c:v>756981.81680696993</c:v>
                </c:pt>
                <c:pt idx="4">
                  <c:v>967530.80640416383</c:v>
                </c:pt>
                <c:pt idx="5">
                  <c:v>1216161.5435678514</c:v>
                </c:pt>
                <c:pt idx="6">
                  <c:v>2187042.8281215685</c:v>
                </c:pt>
                <c:pt idx="7">
                  <c:v>2396319.2617049417</c:v>
                </c:pt>
                <c:pt idx="8">
                  <c:v>2637090.4279176788</c:v>
                </c:pt>
                <c:pt idx="9">
                  <c:v>7249405.358554719</c:v>
                </c:pt>
                <c:pt idx="10">
                  <c:v>7570938.9873978384</c:v>
                </c:pt>
                <c:pt idx="11">
                  <c:v>8037099.1876151087</c:v>
                </c:pt>
                <c:pt idx="12">
                  <c:v>8684733.2344117761</c:v>
                </c:pt>
                <c:pt idx="13">
                  <c:v>9899237.8984732181</c:v>
                </c:pt>
                <c:pt idx="14">
                  <c:v>11604992.217680145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E6-4F91-B902-18862731E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43250"/>
        <c:axId val="1442465635"/>
      </c:scatterChart>
      <c:valAx>
        <c:axId val="3654325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442465635"/>
        <c:crosses val="autoZero"/>
        <c:crossBetween val="midCat"/>
      </c:valAx>
      <c:valAx>
        <c:axId val="14424656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36543250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หนี้สินรวม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GRAPH!$A$95:$A$109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GRAPH!$B$95:$B$109</c:f>
              <c:numCache>
                <c:formatCode>_-* #,##0_-;\-* #,##0_-;_-* "-"??_-;_-@</c:formatCode>
                <c:ptCount val="15"/>
                <c:pt idx="0">
                  <c:v>419616.00000000006</c:v>
                </c:pt>
                <c:pt idx="1">
                  <c:v>413856.00000000006</c:v>
                </c:pt>
                <c:pt idx="2">
                  <c:v>400473.60000000009</c:v>
                </c:pt>
                <c:pt idx="3">
                  <c:v>385267.20000000007</c:v>
                </c:pt>
                <c:pt idx="4">
                  <c:v>368256.00000000006</c:v>
                </c:pt>
                <c:pt idx="5">
                  <c:v>349459.20000000007</c:v>
                </c:pt>
                <c:pt idx="6">
                  <c:v>1382004</c:v>
                </c:pt>
                <c:pt idx="7" formatCode="_-* #,##0.00_-;\-* #,##0.00_-;_-* &quot;-&quot;??_-;_-@">
                  <c:v>1209249.6000000001</c:v>
                </c:pt>
                <c:pt idx="8" formatCode="_-* #,##0.00_-;\-* #,##0.00_-;_-* &quot;-&quot;??_-;_-@">
                  <c:v>1032847.2000000001</c:v>
                </c:pt>
                <c:pt idx="9" formatCode="_-* #,##0.00_-;\-* #,##0.00_-;_-* &quot;-&quot;??_-;_-@">
                  <c:v>6183259.3192481883</c:v>
                </c:pt>
                <c:pt idx="10" formatCode="_-* #,##0.00_-;\-* #,##0.00_-;_-* &quot;-&quot;??_-;_-@">
                  <c:v>5821995.3152732486</c:v>
                </c:pt>
                <c:pt idx="11" formatCode="_-* #,##0.00_-;\-* #,##0.00_-;_-* &quot;-&quot;??_-;_-@">
                  <c:v>5457198.5112983091</c:v>
                </c:pt>
                <c:pt idx="12" formatCode="_-* #,##0.00_-;\-* #,##0.00_-;_-* &quot;-&quot;??_-;_-@">
                  <c:v>5088907.3073233701</c:v>
                </c:pt>
                <c:pt idx="13" formatCode="_-* #,##0.00_-;\-* #,##0.00_-;_-* &quot;-&quot;??_-;_-@">
                  <c:v>4717160.1033484302</c:v>
                </c:pt>
                <c:pt idx="14" formatCode="_-* #,##0.00_-;\-* #,##0.00_-;_-* &quot;-&quot;??_-;_-@">
                  <c:v>4492439.2993734907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CB8-40CA-8A60-9B04316B9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8314718"/>
        <c:axId val="859266851"/>
      </c:scatterChart>
      <c:valAx>
        <c:axId val="109831471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859266851"/>
        <c:crosses val="autoZero"/>
        <c:crossBetween val="midCat"/>
      </c:valAx>
      <c:valAx>
        <c:axId val="85926685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* #,##0_-;\-* #,##0_-;_-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098314718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pieChart>
        <c:varyColors val="1"/>
        <c:ser>
          <c:idx val="0"/>
          <c:order val="0"/>
          <c:tx>
            <c:strRef>
              <c:f>GRAPH!$C$134</c:f>
              <c:strCache>
                <c:ptCount val="1"/>
                <c:pt idx="0">
                  <c:v>ลงทุน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1D3D-4A1A-AD8D-15920AE57DFA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1D3D-4A1A-AD8D-15920AE57DFA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1D3D-4A1A-AD8D-15920AE57DFA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1D3D-4A1A-AD8D-15920AE57DF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GRAPH!$B$135:$B$138</c:f>
              <c:strCache>
                <c:ptCount val="4"/>
                <c:pt idx="0">
                  <c:v>ETF พัทธบัตร</c:v>
                </c:pt>
                <c:pt idx="1">
                  <c:v>ETF s&amp;p</c:v>
                </c:pt>
                <c:pt idx="2">
                  <c:v>SSF-ตราสารหนี้ไทย</c:v>
                </c:pt>
                <c:pt idx="3">
                  <c:v>RMF-Global Bond</c:v>
                </c:pt>
              </c:strCache>
            </c:strRef>
          </c:cat>
          <c:val>
            <c:numRef>
              <c:f>GRAPH!$C$135:$C$138</c:f>
              <c:numCache>
                <c:formatCode>_-* #,##0.00_-;\-* #,##0.00_-;_-* "-"??_-;_-@</c:formatCode>
                <c:ptCount val="4"/>
                <c:pt idx="0">
                  <c:v>640496.67376064986</c:v>
                </c:pt>
                <c:pt idx="1">
                  <c:v>440973.5943857258</c:v>
                </c:pt>
                <c:pt idx="2">
                  <c:v>992476.3613341481</c:v>
                </c:pt>
                <c:pt idx="3">
                  <c:v>557765.73797862651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3D-4A1A-AD8D-15920AE57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t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th-TH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รายได้รวม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GRAPH!$A$23:$A$37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GRAPH!$B$23:$B$37</c:f>
              <c:numCache>
                <c:formatCode>_-* #,##0.00_-;\-* #,##0.00_-;_-* "-"??_-;_-@</c:formatCode>
                <c:ptCount val="15"/>
                <c:pt idx="0">
                  <c:v>495600</c:v>
                </c:pt>
                <c:pt idx="1">
                  <c:v>520380</c:v>
                </c:pt>
                <c:pt idx="2">
                  <c:v>546399</c:v>
                </c:pt>
                <c:pt idx="3">
                  <c:v>580532.4</c:v>
                </c:pt>
                <c:pt idx="4">
                  <c:v>617053.81499999994</c:v>
                </c:pt>
                <c:pt idx="5">
                  <c:v>656150.78025000007</c:v>
                </c:pt>
                <c:pt idx="6">
                  <c:v>716164.42511250009</c:v>
                </c:pt>
                <c:pt idx="7">
                  <c:v>784619.97338812519</c:v>
                </c:pt>
                <c:pt idx="8">
                  <c:v>863027.76448153146</c:v>
                </c:pt>
                <c:pt idx="9">
                  <c:v>953191.30361440801</c:v>
                </c:pt>
                <c:pt idx="10" formatCode="_-* #,##0_-;\-* #,##0_-;_-* &quot;-&quot;??_-;_-@">
                  <c:v>1132484.8913397684</c:v>
                </c:pt>
                <c:pt idx="11" formatCode="_-* #,##0_-;\-* #,##0_-;_-* &quot;-&quot;??_-;_-@">
                  <c:v>1373396.7674692529</c:v>
                </c:pt>
                <c:pt idx="12" formatCode="_-* #,##0_-;\-* #,##0_-;_-* &quot;-&quot;??_-;_-@">
                  <c:v>1700069.29003021</c:v>
                </c:pt>
                <c:pt idx="13" formatCode="_-* #,##0_-;\-* #,##0_-;_-* &quot;-&quot;??_-;_-@">
                  <c:v>2146276.5123942127</c:v>
                </c:pt>
                <c:pt idx="14" formatCode="_-* #,##0_-;\-* #,##0_-;_-* &quot;-&quot;??_-;_-@">
                  <c:v>2759275.5990214124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49-40EE-B76B-A96A11E6E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158718"/>
        <c:axId val="60640619"/>
      </c:scatterChart>
      <c:valAx>
        <c:axId val="102615871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60640619"/>
        <c:crosses val="autoZero"/>
        <c:crossBetween val="midCat"/>
      </c:valAx>
      <c:valAx>
        <c:axId val="606406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026158718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 สินทรัพย์สภาพคล่อง/หนี้ระยะสั้น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GRAPH!$J$5:$J$19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GRAPH!$K$5:$K$19</c:f>
              <c:numCache>
                <c:formatCode>_-* #,##0.000_-;\-* #,##0.000_-;_-* "-"_-;_-@</c:formatCode>
                <c:ptCount val="15"/>
                <c:pt idx="0">
                  <c:v>15.620833333333334</c:v>
                </c:pt>
                <c:pt idx="1">
                  <c:v>20.850998236489716</c:v>
                </c:pt>
                <c:pt idx="2">
                  <c:v>30.230261988373314</c:v>
                </c:pt>
                <c:pt idx="3">
                  <c:v>33.166397081334644</c:v>
                </c:pt>
                <c:pt idx="4">
                  <c:v>35.808288470770293</c:v>
                </c:pt>
                <c:pt idx="5">
                  <c:v>38.385993378994392</c:v>
                </c:pt>
                <c:pt idx="6">
                  <c:v>3.426958133206325</c:v>
                </c:pt>
                <c:pt idx="7">
                  <c:v>3.9559823030451184</c:v>
                </c:pt>
                <c:pt idx="8">
                  <c:v>4.5489314918311763</c:v>
                </c:pt>
                <c:pt idx="9">
                  <c:v>3.2263867913590795E-2</c:v>
                </c:pt>
                <c:pt idx="10">
                  <c:v>0.53473830605110262</c:v>
                </c:pt>
                <c:pt idx="11">
                  <c:v>1.2349204645157339</c:v>
                </c:pt>
                <c:pt idx="12">
                  <c:v>2.213528429225248</c:v>
                </c:pt>
                <c:pt idx="13">
                  <c:v>6.8433067316501575</c:v>
                </c:pt>
                <c:pt idx="14">
                  <c:v>11.174290603049883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5E-411F-9642-22E86967A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130767"/>
        <c:axId val="1380644498"/>
      </c:scatterChart>
      <c:valAx>
        <c:axId val="175513076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380644498"/>
        <c:crosses val="autoZero"/>
        <c:crossBetween val="midCat"/>
      </c:valAx>
      <c:valAx>
        <c:axId val="13806444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* #,##0.000_-;\-* #,##0.000_-;_-* &quot;-&quot;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755130767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 สินทรัพย์สภาพคล่อง/กระแสเงินสดจ่ายต่อเดือน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GRAPH!$J$23:$J$37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GRAPH!$K$23:$K$37</c:f>
              <c:numCache>
                <c:formatCode>_-* #,##0.000_-;\-* #,##0.000_-;_-* "-"_-;_-@</c:formatCode>
                <c:ptCount val="15"/>
                <c:pt idx="0">
                  <c:v>2.6618543281462634</c:v>
                </c:pt>
                <c:pt idx="1">
                  <c:v>11.875220009050658</c:v>
                </c:pt>
                <c:pt idx="2">
                  <c:v>17.31510771497528</c:v>
                </c:pt>
                <c:pt idx="3">
                  <c:v>17.58918738307263</c:v>
                </c:pt>
                <c:pt idx="4">
                  <c:v>19.544905513653045</c:v>
                </c:pt>
                <c:pt idx="5">
                  <c:v>22.669894503360446</c:v>
                </c:pt>
                <c:pt idx="6">
                  <c:v>12.235926148460784</c:v>
                </c:pt>
                <c:pt idx="7">
                  <c:v>14.042946038060224</c:v>
                </c:pt>
                <c:pt idx="8">
                  <c:v>15.171276204816296</c:v>
                </c:pt>
                <c:pt idx="9">
                  <c:v>0.16681409688516199</c:v>
                </c:pt>
                <c:pt idx="10">
                  <c:v>2.735034362959027</c:v>
                </c:pt>
                <c:pt idx="11">
                  <c:v>5.6963109374814591</c:v>
                </c:pt>
                <c:pt idx="12">
                  <c:v>8.8840401672300242</c:v>
                </c:pt>
                <c:pt idx="13">
                  <c:v>18.427426972914656</c:v>
                </c:pt>
                <c:pt idx="14">
                  <c:v>26.791032755061842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F4E-4712-9787-2B9E85591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058523"/>
        <c:axId val="1691781161"/>
      </c:scatterChart>
      <c:valAx>
        <c:axId val="52705852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691781161"/>
        <c:crosses val="autoZero"/>
        <c:crossBetween val="midCat"/>
      </c:valAx>
      <c:valAx>
        <c:axId val="16917811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* #,##0.000_-;\-* #,##0.000_-;_-* &quot;-&quot;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527058523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 สินทรัพย์สภาพคล่อง/ความมั่งคั่งสุทธิ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GRAPH!$J$41:$J$55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GRAPH!$K$41:$K$55</c:f>
              <c:numCache>
                <c:formatCode>0.00%</c:formatCode>
                <c:ptCount val="15"/>
                <c:pt idx="0" formatCode="0%">
                  <c:v>-0.27295231161266831</c:v>
                </c:pt>
                <c:pt idx="1">
                  <c:v>-3.2647902476236794</c:v>
                </c:pt>
                <c:pt idx="2">
                  <c:v>2.9195043639709901</c:v>
                </c:pt>
                <c:pt idx="3">
                  <c:v>1.5178316604186355</c:v>
                </c:pt>
                <c:pt idx="4">
                  <c:v>1.1231595747634926</c:v>
                </c:pt>
                <c:pt idx="5" formatCode="0%">
                  <c:v>0.91073811546598482</c:v>
                </c:pt>
                <c:pt idx="6" formatCode="0%">
                  <c:v>0.73539570446380731</c:v>
                </c:pt>
                <c:pt idx="7" formatCode="0%">
                  <c:v>0.58787179482996732</c:v>
                </c:pt>
                <c:pt idx="8" formatCode="0%">
                  <c:v>0.51043522668966101</c:v>
                </c:pt>
                <c:pt idx="9" formatCode="0%">
                  <c:v>1.0932624308920971E-2</c:v>
                </c:pt>
                <c:pt idx="10" formatCode="0%">
                  <c:v>0.11153636799145528</c:v>
                </c:pt>
                <c:pt idx="11" formatCode="0%">
                  <c:v>0.17628986606534877</c:v>
                </c:pt>
                <c:pt idx="12" formatCode="0%">
                  <c:v>0.22884116783423342</c:v>
                </c:pt>
                <c:pt idx="13" formatCode="0%">
                  <c:v>0.29675999693217797</c:v>
                </c:pt>
                <c:pt idx="14" formatCode="0%">
                  <c:v>0.35836017815943871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F6-49BA-B426-2C6F038D6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595407"/>
        <c:axId val="736509550"/>
      </c:scatterChart>
      <c:valAx>
        <c:axId val="50959540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736509550"/>
        <c:crosses val="autoZero"/>
        <c:crossBetween val="midCat"/>
      </c:valAx>
      <c:valAx>
        <c:axId val="7365095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509595407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 หนี้สินรวม/สินทรัพย์รวม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GRAPH!$T$4:$T$18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GRAPH!$U$4:$U$18</c:f>
              <c:numCache>
                <c:formatCode>0%</c:formatCode>
                <c:ptCount val="15"/>
                <c:pt idx="0">
                  <c:v>4.6636436383035482</c:v>
                </c:pt>
                <c:pt idx="1">
                  <c:v>1.2602668310252887</c:v>
                </c:pt>
                <c:pt idx="2" formatCode="0.00%">
                  <c:v>0.7177851931715663</c:v>
                </c:pt>
                <c:pt idx="3">
                  <c:v>0.50895172307453596</c:v>
                </c:pt>
                <c:pt idx="4">
                  <c:v>0.38061423735811212</c:v>
                </c:pt>
                <c:pt idx="5">
                  <c:v>0.2873460370854945</c:v>
                </c:pt>
                <c:pt idx="6">
                  <c:v>0.631905320842295</c:v>
                </c:pt>
                <c:pt idx="7">
                  <c:v>0.50462791804278984</c:v>
                </c:pt>
                <c:pt idx="8">
                  <c:v>0.3916616544755977</c:v>
                </c:pt>
                <c:pt idx="9">
                  <c:v>0.85293331155107555</c:v>
                </c:pt>
                <c:pt idx="10">
                  <c:v>0.76899250211423131</c:v>
                </c:pt>
                <c:pt idx="11">
                  <c:v>0.67900101565346649</c:v>
                </c:pt>
                <c:pt idx="12">
                  <c:v>0.58596011759571864</c:v>
                </c:pt>
                <c:pt idx="13">
                  <c:v>0.47651750081447869</c:v>
                </c:pt>
                <c:pt idx="14">
                  <c:v>0.38711265075467116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C1A-49F2-8197-00384EE42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4841896"/>
        <c:axId val="364819133"/>
      </c:scatterChart>
      <c:valAx>
        <c:axId val="29484189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364819133"/>
        <c:crosses val="autoZero"/>
        <c:crossBetween val="midCat"/>
      </c:valAx>
      <c:valAx>
        <c:axId val="3648191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294841896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 ความมั่งคั่งสุทธิ/สินทรัพย์รวม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GRAPH!$T$23:$T$37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GRAPH!$U$23:$U$37</c:f>
              <c:numCache>
                <c:formatCode>0%</c:formatCode>
                <c:ptCount val="15"/>
                <c:pt idx="0">
                  <c:v>-3.6636436383035482</c:v>
                </c:pt>
                <c:pt idx="1">
                  <c:v>-0.26026683102528869</c:v>
                </c:pt>
                <c:pt idx="2" formatCode="0.00%">
                  <c:v>0.2822148068284337</c:v>
                </c:pt>
                <c:pt idx="3">
                  <c:v>0.49104827692546404</c:v>
                </c:pt>
                <c:pt idx="4">
                  <c:v>0.61938576264188794</c:v>
                </c:pt>
                <c:pt idx="5">
                  <c:v>0.71265396291450545</c:v>
                </c:pt>
                <c:pt idx="6">
                  <c:v>0.368094679157705</c:v>
                </c:pt>
                <c:pt idx="7">
                  <c:v>0.49537208195721011</c:v>
                </c:pt>
                <c:pt idx="8">
                  <c:v>0.60833834552440225</c:v>
                </c:pt>
                <c:pt idx="9">
                  <c:v>0.14706668844892451</c:v>
                </c:pt>
                <c:pt idx="10">
                  <c:v>0.23100749788576869</c:v>
                </c:pt>
                <c:pt idx="11">
                  <c:v>0.32099898434653351</c:v>
                </c:pt>
                <c:pt idx="12">
                  <c:v>0.41403988240428136</c:v>
                </c:pt>
                <c:pt idx="13">
                  <c:v>0.52348249918552126</c:v>
                </c:pt>
                <c:pt idx="14">
                  <c:v>0.61288734924532884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98-48D6-8BF5-66D954915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7959879"/>
        <c:axId val="1702226445"/>
      </c:scatterChart>
      <c:valAx>
        <c:axId val="94795987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702226445"/>
        <c:crosses val="autoZero"/>
        <c:crossBetween val="midCat"/>
      </c:valAx>
      <c:valAx>
        <c:axId val="17022264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947959879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 การชำระคืนหนี้สินต่อปี/รายรับรวมต่อปี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GRAPH!$T$41:$T$55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GRAPH!$U$41:$U$55</c:f>
              <c:numCache>
                <c:formatCode>0.00%</c:formatCode>
                <c:ptCount val="15"/>
                <c:pt idx="0">
                  <c:v>1.1622276029055689E-2</c:v>
                </c:pt>
                <c:pt idx="1">
                  <c:v>2.5716591721434336E-2</c:v>
                </c:pt>
                <c:pt idx="2">
                  <c:v>2.7830211987942877E-2</c:v>
                </c:pt>
                <c:pt idx="3">
                  <c:v>2.9302757262126972E-2</c:v>
                </c:pt>
                <c:pt idx="4">
                  <c:v>3.0462172898161242E-2</c:v>
                </c:pt>
                <c:pt idx="5">
                  <c:v>3.1339138226986814E-2</c:v>
                </c:pt>
                <c:pt idx="6">
                  <c:v>0.24122169985316225</c:v>
                </c:pt>
                <c:pt idx="7">
                  <c:v>0.22482527335910635</c:v>
                </c:pt>
                <c:pt idx="8">
                  <c:v>0.20858193375521722</c:v>
                </c:pt>
                <c:pt idx="9">
                  <c:v>0.37900472088348047</c:v>
                </c:pt>
                <c:pt idx="10">
                  <c:v>0.32212068060649579</c:v>
                </c:pt>
                <c:pt idx="11">
                  <c:v>0.26816082045510187</c:v>
                </c:pt>
                <c:pt idx="12">
                  <c:v>0.21866591329835366</c:v>
                </c:pt>
                <c:pt idx="13">
                  <c:v>0.10470263392309094</c:v>
                </c:pt>
                <c:pt idx="14">
                  <c:v>8.2666625999895091E-2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E60-44C5-BBD9-02D7AB35C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8004045"/>
        <c:axId val="213850346"/>
      </c:scatterChart>
      <c:valAx>
        <c:axId val="135800404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213850346"/>
        <c:crosses val="autoZero"/>
        <c:crossBetween val="midCat"/>
      </c:valAx>
      <c:valAx>
        <c:axId val="2138503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358004045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 การชำระคืนหนี้สินต่อเดือน/รายรับรวมต่อเดือน 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numRef>
              <c:f>GRAPH!$T$59:$T$73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GRAPH!$U$59:$U$73</c:f>
              <c:numCache>
                <c:formatCode>0.00%</c:formatCode>
                <c:ptCount val="15"/>
                <c:pt idx="0">
                  <c:v>1.1622276029055689E-2</c:v>
                </c:pt>
                <c:pt idx="1">
                  <c:v>2.5716591721434336E-2</c:v>
                </c:pt>
                <c:pt idx="2">
                  <c:v>2.7830211987942877E-2</c:v>
                </c:pt>
                <c:pt idx="3">
                  <c:v>2.9302757262126972E-2</c:v>
                </c:pt>
                <c:pt idx="4">
                  <c:v>3.0462172898161239E-2</c:v>
                </c:pt>
                <c:pt idx="5">
                  <c:v>3.1339138226986814E-2</c:v>
                </c:pt>
                <c:pt idx="6">
                  <c:v>0.24122169985316225</c:v>
                </c:pt>
                <c:pt idx="7">
                  <c:v>0.22482527335910635</c:v>
                </c:pt>
                <c:pt idx="8">
                  <c:v>0.20858193375521719</c:v>
                </c:pt>
                <c:pt idx="9">
                  <c:v>0.37900472088348047</c:v>
                </c:pt>
                <c:pt idx="10">
                  <c:v>0.32212068060649579</c:v>
                </c:pt>
                <c:pt idx="11">
                  <c:v>0.26816082045510187</c:v>
                </c:pt>
                <c:pt idx="12">
                  <c:v>0.21866591329835369</c:v>
                </c:pt>
                <c:pt idx="13">
                  <c:v>0.10470263392309094</c:v>
                </c:pt>
                <c:pt idx="14">
                  <c:v>8.2666625999895091E-2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05E-4F75-986D-D18FD5074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1555825"/>
        <c:axId val="959692399"/>
      </c:scatterChart>
      <c:valAx>
        <c:axId val="157155582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959692399"/>
        <c:crosses val="autoZero"/>
        <c:crossBetween val="midCat"/>
      </c:valAx>
      <c:valAx>
        <c:axId val="9596923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th-TH"/>
          </a:p>
        </c:txPr>
        <c:crossAx val="1571555825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638175</xdr:colOff>
      <xdr:row>4</xdr:row>
      <xdr:rowOff>19050</xdr:rowOff>
    </xdr:from>
    <xdr:ext cx="3943350" cy="2743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</xdr:col>
      <xdr:colOff>628650</xdr:colOff>
      <xdr:row>21</xdr:row>
      <xdr:rowOff>161925</xdr:rowOff>
    </xdr:from>
    <xdr:ext cx="3943350" cy="27432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13</xdr:col>
      <xdr:colOff>0</xdr:colOff>
      <xdr:row>3</xdr:row>
      <xdr:rowOff>152400</xdr:rowOff>
    </xdr:from>
    <xdr:ext cx="4048125" cy="27432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13</xdr:col>
      <xdr:colOff>9525</xdr:colOff>
      <xdr:row>22</xdr:row>
      <xdr:rowOff>95250</xdr:rowOff>
    </xdr:from>
    <xdr:ext cx="4048125" cy="27432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12</xdr:col>
      <xdr:colOff>847725</xdr:colOff>
      <xdr:row>40</xdr:row>
      <xdr:rowOff>57150</xdr:rowOff>
    </xdr:from>
    <xdr:ext cx="3943350" cy="2743200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22</xdr:col>
      <xdr:colOff>266700</xdr:colOff>
      <xdr:row>3</xdr:row>
      <xdr:rowOff>9525</xdr:rowOff>
    </xdr:from>
    <xdr:ext cx="3838575" cy="2743200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22</xdr:col>
      <xdr:colOff>28575</xdr:colOff>
      <xdr:row>22</xdr:row>
      <xdr:rowOff>57150</xdr:rowOff>
    </xdr:from>
    <xdr:ext cx="3943350" cy="2743200"/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22</xdr:col>
      <xdr:colOff>104775</xdr:colOff>
      <xdr:row>40</xdr:row>
      <xdr:rowOff>28575</xdr:rowOff>
    </xdr:from>
    <xdr:ext cx="3943350" cy="2743200"/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22</xdr:col>
      <xdr:colOff>85725</xdr:colOff>
      <xdr:row>58</xdr:row>
      <xdr:rowOff>47625</xdr:rowOff>
    </xdr:from>
    <xdr:ext cx="3943350" cy="2743200"/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32</xdr:col>
      <xdr:colOff>533400</xdr:colOff>
      <xdr:row>3</xdr:row>
      <xdr:rowOff>47625</xdr:rowOff>
    </xdr:from>
    <xdr:ext cx="3838575" cy="2743200"/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32</xdr:col>
      <xdr:colOff>666750</xdr:colOff>
      <xdr:row>22</xdr:row>
      <xdr:rowOff>66675</xdr:rowOff>
    </xdr:from>
    <xdr:ext cx="3838575" cy="2743200"/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2</xdr:col>
      <xdr:colOff>514350</xdr:colOff>
      <xdr:row>38</xdr:row>
      <xdr:rowOff>85725</xdr:rowOff>
    </xdr:from>
    <xdr:ext cx="4210050" cy="2867025"/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2</xdr:col>
      <xdr:colOff>485775</xdr:colOff>
      <xdr:row>58</xdr:row>
      <xdr:rowOff>9525</xdr:rowOff>
    </xdr:from>
    <xdr:ext cx="4048125" cy="2686050"/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2</xdr:col>
      <xdr:colOff>438150</xdr:colOff>
      <xdr:row>75</xdr:row>
      <xdr:rowOff>9525</xdr:rowOff>
    </xdr:from>
    <xdr:ext cx="4010025" cy="2838450"/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2</xdr:col>
      <xdr:colOff>600075</xdr:colOff>
      <xdr:row>94</xdr:row>
      <xdr:rowOff>9525</xdr:rowOff>
    </xdr:from>
    <xdr:ext cx="4010025" cy="2838450"/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3</xdr:col>
      <xdr:colOff>476250</xdr:colOff>
      <xdr:row>130</xdr:row>
      <xdr:rowOff>152400</xdr:rowOff>
    </xdr:from>
    <xdr:ext cx="4705350" cy="4171950"/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00"/>
  <sheetViews>
    <sheetView topLeftCell="B1" workbookViewId="0">
      <selection activeCell="E24" sqref="E24"/>
    </sheetView>
  </sheetViews>
  <sheetFormatPr defaultColWidth="12.625" defaultRowHeight="15" customHeight="1" x14ac:dyDescent="0.2"/>
  <cols>
    <col min="1" max="1" width="8.75" customWidth="1"/>
    <col min="2" max="2" width="55.125" customWidth="1"/>
    <col min="3" max="3" width="12.625" customWidth="1"/>
    <col min="4" max="4" width="14.125" customWidth="1"/>
    <col min="5" max="5" width="44.375" customWidth="1"/>
    <col min="6" max="6" width="11.125" customWidth="1"/>
    <col min="7" max="7" width="8.75" customWidth="1"/>
    <col min="8" max="8" width="41.25" customWidth="1"/>
    <col min="9" max="9" width="12.875" customWidth="1"/>
    <col min="10" max="11" width="8.75" customWidth="1"/>
    <col min="12" max="12" width="29.125" customWidth="1"/>
    <col min="13" max="13" width="19.375" customWidth="1"/>
    <col min="14" max="14" width="9.375" customWidth="1"/>
    <col min="15" max="15" width="8.125" customWidth="1"/>
    <col min="16" max="16" width="11.625" customWidth="1"/>
    <col min="17" max="18" width="8.75" customWidth="1"/>
    <col min="19" max="19" width="7.625" customWidth="1"/>
    <col min="20" max="20" width="30.125" customWidth="1"/>
    <col min="21" max="21" width="47.625" customWidth="1"/>
    <col min="22" max="22" width="7" customWidth="1"/>
    <col min="23" max="23" width="8.75" customWidth="1"/>
    <col min="24" max="24" width="22.75" customWidth="1"/>
    <col min="25" max="25" width="39.875" customWidth="1"/>
    <col min="26" max="26" width="8.75" customWidth="1"/>
    <col min="27" max="27" width="33.625" customWidth="1"/>
    <col min="28" max="28" width="14" customWidth="1"/>
    <col min="29" max="29" width="13.25" customWidth="1"/>
    <col min="30" max="30" width="15.375" customWidth="1"/>
    <col min="31" max="31" width="16.75" customWidth="1"/>
    <col min="32" max="37" width="13.25" customWidth="1"/>
    <col min="38" max="41" width="11.375" customWidth="1"/>
    <col min="42" max="44" width="8.75" customWidth="1"/>
  </cols>
  <sheetData>
    <row r="1" spans="2:44" ht="14.25" customHeight="1" x14ac:dyDescent="0.2">
      <c r="AB1" s="1" t="s">
        <v>0</v>
      </c>
      <c r="AC1" s="1" t="s">
        <v>1</v>
      </c>
      <c r="AD1" s="1" t="s">
        <v>2</v>
      </c>
      <c r="AE1" s="1" t="s">
        <v>3</v>
      </c>
      <c r="AI1" s="1">
        <v>1</v>
      </c>
      <c r="AJ1" s="1">
        <v>2</v>
      </c>
      <c r="AK1" s="1">
        <v>3</v>
      </c>
      <c r="AL1" s="1">
        <v>4</v>
      </c>
      <c r="AM1" s="1">
        <v>5</v>
      </c>
      <c r="AN1" s="1">
        <v>6</v>
      </c>
      <c r="AO1" s="1">
        <v>7</v>
      </c>
      <c r="AP1" s="1">
        <v>8</v>
      </c>
      <c r="AQ1" s="1">
        <v>9</v>
      </c>
      <c r="AR1" s="1">
        <v>10</v>
      </c>
    </row>
    <row r="2" spans="2:44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  <c r="AB2" s="1">
        <v>1.03</v>
      </c>
      <c r="AC2" s="1">
        <v>12</v>
      </c>
      <c r="AD2" s="1">
        <v>4</v>
      </c>
      <c r="AH2" s="4">
        <v>6</v>
      </c>
      <c r="AI2" s="5">
        <v>7</v>
      </c>
      <c r="AJ2" s="5">
        <v>8</v>
      </c>
      <c r="AK2" s="5">
        <v>9</v>
      </c>
      <c r="AL2" s="5">
        <v>10</v>
      </c>
    </row>
    <row r="3" spans="2:44" ht="14.25" customHeight="1" x14ac:dyDescent="0.2">
      <c r="B3" s="1" t="s">
        <v>9</v>
      </c>
      <c r="C3" s="6">
        <v>300000</v>
      </c>
      <c r="E3" s="1" t="s">
        <v>10</v>
      </c>
      <c r="F3" s="6">
        <v>1440000</v>
      </c>
      <c r="H3" s="1" t="s">
        <v>11</v>
      </c>
      <c r="I3" s="7">
        <v>12000</v>
      </c>
      <c r="J3" s="6"/>
      <c r="L3" s="8">
        <f>L4-M21</f>
        <v>1284200</v>
      </c>
      <c r="T3" s="9" t="s">
        <v>12</v>
      </c>
      <c r="U3" s="10" t="s">
        <v>13</v>
      </c>
      <c r="AA3" s="1">
        <v>1</v>
      </c>
      <c r="AB3" s="11">
        <v>120000</v>
      </c>
      <c r="AC3" s="11">
        <f t="shared" ref="AC3:AC22" si="0">AB3*$AC$2</f>
        <v>1440000</v>
      </c>
      <c r="AD3" s="11">
        <f t="shared" ref="AD3:AD22" si="1">AB3*$AD$2</f>
        <v>480000</v>
      </c>
      <c r="AE3" s="11">
        <f t="shared" ref="AE3:AE22" si="2">AC3+AD3</f>
        <v>1920000</v>
      </c>
      <c r="AH3" s="12">
        <v>2696</v>
      </c>
      <c r="AI3" s="13">
        <v>2767</v>
      </c>
      <c r="AJ3" s="13">
        <v>2841</v>
      </c>
      <c r="AK3" s="13">
        <v>2981</v>
      </c>
      <c r="AL3" s="13">
        <v>3000</v>
      </c>
    </row>
    <row r="4" spans="2:44" ht="14.25" customHeight="1" x14ac:dyDescent="0.2">
      <c r="B4" s="14" t="s">
        <v>14</v>
      </c>
      <c r="C4" s="15">
        <f>SUM(C3)</f>
        <v>300000</v>
      </c>
      <c r="E4" s="1" t="s">
        <v>15</v>
      </c>
      <c r="F4" s="6">
        <v>480000</v>
      </c>
      <c r="H4" s="1" t="s">
        <v>16</v>
      </c>
      <c r="I4" s="7">
        <v>4100</v>
      </c>
      <c r="L4" s="16">
        <f>SUM(F3:F4)</f>
        <v>1920000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  <c r="AA4" s="1">
        <v>2</v>
      </c>
      <c r="AB4" s="11">
        <f t="shared" ref="AB4:AB22" si="3">AB3*$AB$2</f>
        <v>123600</v>
      </c>
      <c r="AC4" s="11">
        <f t="shared" si="0"/>
        <v>1483200</v>
      </c>
      <c r="AD4" s="11">
        <f t="shared" si="1"/>
        <v>494400</v>
      </c>
      <c r="AE4" s="11">
        <f t="shared" si="2"/>
        <v>1977600</v>
      </c>
      <c r="AG4" s="1">
        <v>1000</v>
      </c>
      <c r="AH4" s="1">
        <f t="shared" ref="AH4:AL4" si="4">AH3/$AG$4</f>
        <v>2.6960000000000002</v>
      </c>
      <c r="AI4" s="1">
        <f t="shared" si="4"/>
        <v>2.7669999999999999</v>
      </c>
      <c r="AJ4" s="1">
        <f t="shared" si="4"/>
        <v>2.8410000000000002</v>
      </c>
      <c r="AK4" s="1">
        <f t="shared" si="4"/>
        <v>2.9809999999999999</v>
      </c>
      <c r="AL4" s="1">
        <f t="shared" si="4"/>
        <v>3</v>
      </c>
    </row>
    <row r="5" spans="2:44" ht="14.25" customHeight="1" x14ac:dyDescent="0.2">
      <c r="E5" s="1" t="s">
        <v>22</v>
      </c>
      <c r="F5" s="6"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300000</v>
      </c>
      <c r="X5" s="19"/>
      <c r="Y5" s="19" t="s">
        <v>27</v>
      </c>
      <c r="AA5" s="1">
        <v>3</v>
      </c>
      <c r="AB5" s="11">
        <f t="shared" si="3"/>
        <v>127308</v>
      </c>
      <c r="AC5" s="11">
        <f t="shared" si="0"/>
        <v>1527696</v>
      </c>
      <c r="AD5" s="11">
        <f t="shared" si="1"/>
        <v>509232</v>
      </c>
      <c r="AE5" s="11">
        <f t="shared" si="2"/>
        <v>2036928</v>
      </c>
      <c r="AG5" s="1">
        <v>55000</v>
      </c>
      <c r="AH5" s="1">
        <f t="shared" ref="AH5:AL5" si="5">$AG$5*AH4</f>
        <v>148280</v>
      </c>
      <c r="AI5" s="1">
        <f t="shared" si="5"/>
        <v>152185</v>
      </c>
      <c r="AJ5" s="1">
        <f t="shared" si="5"/>
        <v>156255</v>
      </c>
      <c r="AK5" s="1">
        <f t="shared" si="5"/>
        <v>163955</v>
      </c>
      <c r="AL5" s="1">
        <f t="shared" si="5"/>
        <v>165000</v>
      </c>
    </row>
    <row r="6" spans="2:44" ht="14.25" customHeight="1" x14ac:dyDescent="0.2">
      <c r="B6" s="1" t="s">
        <v>28</v>
      </c>
      <c r="E6" s="1" t="s">
        <v>29</v>
      </c>
      <c r="F6" s="6">
        <v>15750</v>
      </c>
      <c r="H6" s="1" t="s">
        <v>30</v>
      </c>
      <c r="I6" s="7">
        <v>348000</v>
      </c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6">N6*O6</f>
        <v>0</v>
      </c>
      <c r="S6" s="17"/>
      <c r="T6" s="2" t="s">
        <v>32</v>
      </c>
      <c r="U6" s="21">
        <f>C25</f>
        <v>25000</v>
      </c>
      <c r="X6" s="19" t="s">
        <v>33</v>
      </c>
      <c r="Y6" s="26">
        <f>C36</f>
        <v>6016385</v>
      </c>
      <c r="AA6" s="1">
        <v>4</v>
      </c>
      <c r="AB6" s="11">
        <f t="shared" si="3"/>
        <v>131127.24</v>
      </c>
      <c r="AC6" s="11">
        <f t="shared" si="0"/>
        <v>1573526.88</v>
      </c>
      <c r="AD6" s="11">
        <f t="shared" si="1"/>
        <v>524508.96</v>
      </c>
      <c r="AE6" s="11">
        <f t="shared" si="2"/>
        <v>2098035.84</v>
      </c>
    </row>
    <row r="7" spans="2:44" ht="14.25" customHeight="1" x14ac:dyDescent="0.2">
      <c r="B7" s="1" t="s">
        <v>34</v>
      </c>
      <c r="C7" s="6">
        <v>500000</v>
      </c>
      <c r="E7" s="1" t="s">
        <v>35</v>
      </c>
      <c r="F7" s="7">
        <v>3300</v>
      </c>
      <c r="H7" s="1" t="s">
        <v>36</v>
      </c>
      <c r="I7" s="7">
        <f>F3*0.05</f>
        <v>72000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6"/>
        <v>7500</v>
      </c>
      <c r="S7" s="17"/>
      <c r="T7" s="28"/>
      <c r="U7" s="29">
        <f>U5/U6</f>
        <v>12</v>
      </c>
      <c r="V7" s="1" t="s">
        <v>38</v>
      </c>
      <c r="X7" s="19" t="s">
        <v>39</v>
      </c>
      <c r="Y7" s="26">
        <f>C19</f>
        <v>8825385</v>
      </c>
      <c r="AA7" s="1">
        <v>5</v>
      </c>
      <c r="AB7" s="11">
        <f t="shared" si="3"/>
        <v>135061.05719999998</v>
      </c>
      <c r="AC7" s="11">
        <f t="shared" si="0"/>
        <v>1620732.6863999998</v>
      </c>
      <c r="AD7" s="11">
        <f t="shared" si="1"/>
        <v>540244.22879999992</v>
      </c>
      <c r="AE7" s="11">
        <f t="shared" si="2"/>
        <v>2160976.9151999997</v>
      </c>
      <c r="AI7" s="1">
        <v>14</v>
      </c>
      <c r="AJ7" s="1">
        <v>15</v>
      </c>
      <c r="AK7" s="1">
        <v>16</v>
      </c>
      <c r="AL7" s="1">
        <v>17</v>
      </c>
      <c r="AM7" s="1">
        <v>18</v>
      </c>
      <c r="AN7" s="1">
        <v>19</v>
      </c>
      <c r="AO7" s="1">
        <v>20</v>
      </c>
      <c r="AP7" s="1" t="s">
        <v>40</v>
      </c>
      <c r="AQ7" s="1" t="s">
        <v>41</v>
      </c>
      <c r="AR7" s="1" t="s">
        <v>42</v>
      </c>
    </row>
    <row r="8" spans="2:44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2155050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6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0.68171360229610378</v>
      </c>
      <c r="AA8" s="1">
        <v>6</v>
      </c>
      <c r="AB8" s="11">
        <f t="shared" si="3"/>
        <v>139112.888916</v>
      </c>
      <c r="AC8" s="11">
        <f t="shared" si="0"/>
        <v>1669354.6669919998</v>
      </c>
      <c r="AD8" s="11">
        <f t="shared" si="1"/>
        <v>556451.55566399998</v>
      </c>
      <c r="AE8" s="11">
        <f t="shared" si="2"/>
        <v>2225806.2226559999</v>
      </c>
      <c r="AI8" s="1">
        <v>172</v>
      </c>
      <c r="AJ8" s="1">
        <v>189</v>
      </c>
      <c r="AK8" s="1">
        <v>207</v>
      </c>
      <c r="AL8" s="1">
        <v>226</v>
      </c>
      <c r="AM8" s="1">
        <v>246</v>
      </c>
      <c r="AN8" s="1">
        <v>267</v>
      </c>
      <c r="AO8" s="1">
        <v>289</v>
      </c>
      <c r="AP8" s="1">
        <v>359</v>
      </c>
      <c r="AQ8" s="1">
        <v>425</v>
      </c>
      <c r="AR8" s="1">
        <v>495</v>
      </c>
    </row>
    <row r="9" spans="2:44" ht="14.25" customHeight="1" x14ac:dyDescent="0.2">
      <c r="B9" s="1" t="s">
        <v>50</v>
      </c>
      <c r="C9" s="6">
        <v>900000</v>
      </c>
      <c r="F9" s="6"/>
      <c r="H9" s="14" t="s">
        <v>51</v>
      </c>
      <c r="I9" s="15">
        <f>SUM(I3:I8)</f>
        <v>458600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6"/>
        <v>37500</v>
      </c>
      <c r="S9" s="17" t="s">
        <v>17</v>
      </c>
      <c r="T9" s="18" t="s">
        <v>53</v>
      </c>
      <c r="U9" s="33" t="s">
        <v>54</v>
      </c>
      <c r="AA9" s="1">
        <v>7</v>
      </c>
      <c r="AB9" s="11">
        <f t="shared" si="3"/>
        <v>143286.27558347999</v>
      </c>
      <c r="AC9" s="11">
        <f t="shared" si="0"/>
        <v>1719435.3070017598</v>
      </c>
      <c r="AD9" s="11">
        <f t="shared" si="1"/>
        <v>573145.10233391996</v>
      </c>
      <c r="AE9" s="11">
        <f t="shared" si="2"/>
        <v>2292580.4093356798</v>
      </c>
      <c r="AH9" s="1">
        <v>1000</v>
      </c>
      <c r="AI9" s="1">
        <f t="shared" ref="AI9:AR9" si="7">AI8/$AH$9</f>
        <v>0.17199999999999999</v>
      </c>
      <c r="AJ9" s="1">
        <f t="shared" si="7"/>
        <v>0.189</v>
      </c>
      <c r="AK9" s="1">
        <f t="shared" si="7"/>
        <v>0.20699999999999999</v>
      </c>
      <c r="AL9" s="1">
        <f t="shared" si="7"/>
        <v>0.22600000000000001</v>
      </c>
      <c r="AM9" s="1">
        <f t="shared" si="7"/>
        <v>0.246</v>
      </c>
      <c r="AN9" s="1">
        <f t="shared" si="7"/>
        <v>0.26700000000000002</v>
      </c>
      <c r="AO9" s="1">
        <f t="shared" si="7"/>
        <v>0.28899999999999998</v>
      </c>
      <c r="AP9" s="1">
        <f t="shared" si="7"/>
        <v>0.35899999999999999</v>
      </c>
      <c r="AQ9" s="1">
        <f t="shared" si="7"/>
        <v>0.42499999999999999</v>
      </c>
      <c r="AR9" s="1">
        <f t="shared" si="7"/>
        <v>0.495</v>
      </c>
    </row>
    <row r="10" spans="2:44" ht="14.25" customHeight="1" x14ac:dyDescent="0.2">
      <c r="B10" s="1" t="s">
        <v>55</v>
      </c>
      <c r="C10" s="6">
        <v>1070000</v>
      </c>
      <c r="F10" s="6"/>
      <c r="L10" s="34"/>
      <c r="M10" s="22" t="s">
        <v>56</v>
      </c>
      <c r="N10" s="23">
        <f>IF((L3-N6-N7-N8-N9)&gt;=250000,250000,(L3-N6-N7-N8-N9))</f>
        <v>250000</v>
      </c>
      <c r="O10" s="24">
        <v>0.2</v>
      </c>
      <c r="P10" s="25">
        <f t="shared" si="6"/>
        <v>50000</v>
      </c>
      <c r="S10" s="17"/>
      <c r="T10" s="2" t="s">
        <v>4</v>
      </c>
      <c r="U10" s="21">
        <f>C4</f>
        <v>300000</v>
      </c>
      <c r="AA10" s="1">
        <v>8</v>
      </c>
      <c r="AB10" s="11">
        <f t="shared" si="3"/>
        <v>147584.8638509844</v>
      </c>
      <c r="AC10" s="11">
        <f t="shared" si="0"/>
        <v>1771018.3662118129</v>
      </c>
      <c r="AD10" s="11">
        <f t="shared" si="1"/>
        <v>590339.45540393761</v>
      </c>
      <c r="AE10" s="11">
        <f t="shared" si="2"/>
        <v>2361357.8216157504</v>
      </c>
      <c r="AH10" s="1">
        <v>600000</v>
      </c>
      <c r="AI10" s="1">
        <f t="shared" ref="AI10:AR10" si="8">$AH$10*AI9</f>
        <v>103199.99999999999</v>
      </c>
      <c r="AJ10" s="1">
        <f t="shared" si="8"/>
        <v>113400</v>
      </c>
      <c r="AK10" s="1">
        <f t="shared" si="8"/>
        <v>124200</v>
      </c>
      <c r="AL10" s="1">
        <f t="shared" si="8"/>
        <v>135600</v>
      </c>
      <c r="AM10" s="1">
        <f t="shared" si="8"/>
        <v>147600</v>
      </c>
      <c r="AN10" s="1">
        <f t="shared" si="8"/>
        <v>160200</v>
      </c>
      <c r="AO10" s="1">
        <f t="shared" si="8"/>
        <v>173400</v>
      </c>
      <c r="AP10" s="1">
        <f t="shared" si="8"/>
        <v>215400</v>
      </c>
      <c r="AQ10" s="1">
        <f t="shared" si="8"/>
        <v>255000</v>
      </c>
      <c r="AR10" s="1">
        <f t="shared" si="8"/>
        <v>297000</v>
      </c>
    </row>
    <row r="11" spans="2:44" ht="14.25" customHeight="1" x14ac:dyDescent="0.2">
      <c r="B11" s="1" t="s">
        <v>57</v>
      </c>
      <c r="C11" s="6">
        <v>255385</v>
      </c>
      <c r="H11" s="1" t="s">
        <v>58</v>
      </c>
      <c r="M11" s="22" t="s">
        <v>59</v>
      </c>
      <c r="N11" s="23">
        <f>IF((L3-N6-N7-N8-N9-N10)&gt;=1000000,1000000,(L3-N6-N7-N8-N9-N10))</f>
        <v>284200</v>
      </c>
      <c r="O11" s="24">
        <v>0.25</v>
      </c>
      <c r="P11" s="25">
        <f t="shared" si="6"/>
        <v>71050</v>
      </c>
      <c r="S11" s="17"/>
      <c r="T11" s="2" t="s">
        <v>60</v>
      </c>
      <c r="U11" s="21">
        <f>I22/12</f>
        <v>156220.83333333334</v>
      </c>
      <c r="AA11" s="1">
        <v>9</v>
      </c>
      <c r="AB11" s="11">
        <f t="shared" si="3"/>
        <v>152012.40976651394</v>
      </c>
      <c r="AC11" s="11">
        <f t="shared" si="0"/>
        <v>1824148.9171981672</v>
      </c>
      <c r="AD11" s="11">
        <f t="shared" si="1"/>
        <v>608049.63906605577</v>
      </c>
      <c r="AE11" s="11">
        <f t="shared" si="2"/>
        <v>2432198.5562642231</v>
      </c>
    </row>
    <row r="12" spans="2:44" ht="14.25" customHeight="1" x14ac:dyDescent="0.2">
      <c r="B12" s="14" t="s">
        <v>61</v>
      </c>
      <c r="C12" s="15">
        <f>SUM(C7:C11)</f>
        <v>3325385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6"/>
        <v>0</v>
      </c>
      <c r="S12" s="17"/>
      <c r="T12" s="28"/>
      <c r="U12" s="29">
        <f>U10/U11</f>
        <v>1.9203584669138238</v>
      </c>
      <c r="V12" s="1" t="s">
        <v>64</v>
      </c>
      <c r="AA12" s="1">
        <v>10</v>
      </c>
      <c r="AB12" s="11">
        <f t="shared" si="3"/>
        <v>156572.78205950937</v>
      </c>
      <c r="AC12" s="11">
        <f t="shared" si="0"/>
        <v>1878873.3847141124</v>
      </c>
      <c r="AD12" s="11">
        <f t="shared" si="1"/>
        <v>626291.12823803746</v>
      </c>
      <c r="AE12" s="11">
        <f t="shared" si="2"/>
        <v>2505164.5129521498</v>
      </c>
      <c r="AI12" s="11">
        <f t="shared" ref="AI12:AO12" si="9">AI5+AI10</f>
        <v>255385</v>
      </c>
      <c r="AJ12" s="11">
        <f t="shared" si="9"/>
        <v>269655</v>
      </c>
      <c r="AK12" s="11">
        <f t="shared" si="9"/>
        <v>288155</v>
      </c>
      <c r="AL12" s="11">
        <f t="shared" si="9"/>
        <v>300600</v>
      </c>
      <c r="AM12" s="11">
        <f t="shared" si="9"/>
        <v>147600</v>
      </c>
      <c r="AN12" s="11">
        <f t="shared" si="9"/>
        <v>160200</v>
      </c>
      <c r="AO12" s="11">
        <f t="shared" si="9"/>
        <v>173400</v>
      </c>
    </row>
    <row r="13" spans="2:44" ht="14.25" customHeight="1" x14ac:dyDescent="0.2">
      <c r="H13" s="1" t="s">
        <v>65</v>
      </c>
      <c r="I13" s="6">
        <v>186050</v>
      </c>
      <c r="M13" s="22" t="s">
        <v>66</v>
      </c>
      <c r="N13" s="23">
        <f>L3-N6-N7-N8-N9-N10-N11-N12</f>
        <v>0</v>
      </c>
      <c r="O13" s="24">
        <v>0.35</v>
      </c>
      <c r="P13" s="25">
        <f t="shared" si="6"/>
        <v>0</v>
      </c>
      <c r="S13" s="17"/>
      <c r="T13" s="9" t="s">
        <v>67</v>
      </c>
      <c r="U13" s="30" t="s">
        <v>68</v>
      </c>
      <c r="AA13" s="1">
        <v>11</v>
      </c>
      <c r="AB13" s="11">
        <f t="shared" si="3"/>
        <v>161269.96552129465</v>
      </c>
      <c r="AC13" s="11">
        <f t="shared" si="0"/>
        <v>1935239.5862555359</v>
      </c>
      <c r="AD13" s="11">
        <f t="shared" si="1"/>
        <v>645079.86208517861</v>
      </c>
      <c r="AE13" s="11">
        <f t="shared" si="2"/>
        <v>2580319.4483407144</v>
      </c>
    </row>
    <row r="14" spans="2:44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186050</v>
      </c>
      <c r="S14" s="17" t="s">
        <v>17</v>
      </c>
      <c r="T14" s="36">
        <v>0.15</v>
      </c>
      <c r="U14" s="33" t="s">
        <v>71</v>
      </c>
      <c r="AA14" s="1">
        <v>12</v>
      </c>
      <c r="AB14" s="11">
        <f t="shared" si="3"/>
        <v>166108.06448693349</v>
      </c>
      <c r="AC14" s="11">
        <f t="shared" si="0"/>
        <v>1993296.7738432018</v>
      </c>
      <c r="AD14" s="11">
        <f t="shared" si="1"/>
        <v>664432.25794773398</v>
      </c>
      <c r="AE14" s="11">
        <f t="shared" si="2"/>
        <v>2657729.0317909359</v>
      </c>
      <c r="AJ14" s="32">
        <f>(AJ12-AI12)/AI12</f>
        <v>5.5876421872858628E-2</v>
      </c>
      <c r="AL14" s="32">
        <f>(AL12-AK12)/AK12</f>
        <v>4.3188561711578838E-2</v>
      </c>
      <c r="AM14" s="32"/>
      <c r="AN14" s="32">
        <f>(AN12-AM12)/AM12</f>
        <v>8.5365853658536592E-2</v>
      </c>
    </row>
    <row r="15" spans="2:44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1266050</v>
      </c>
      <c r="T15" s="2" t="s">
        <v>4</v>
      </c>
      <c r="U15" s="21">
        <f>C4</f>
        <v>300000</v>
      </c>
      <c r="AA15" s="1">
        <v>13</v>
      </c>
      <c r="AB15" s="11">
        <f t="shared" si="3"/>
        <v>171091.30642154149</v>
      </c>
      <c r="AC15" s="11">
        <f t="shared" si="0"/>
        <v>2053095.6770584979</v>
      </c>
      <c r="AD15" s="11">
        <f t="shared" si="1"/>
        <v>684365.22568616597</v>
      </c>
      <c r="AE15" s="11">
        <f t="shared" si="2"/>
        <v>2737460.9027446639</v>
      </c>
    </row>
    <row r="16" spans="2:44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6016385</v>
      </c>
      <c r="AA16" s="1">
        <v>14</v>
      </c>
      <c r="AB16" s="11">
        <f t="shared" si="3"/>
        <v>176224.04561418775</v>
      </c>
      <c r="AC16" s="11">
        <f t="shared" si="0"/>
        <v>2114688.5473702531</v>
      </c>
      <c r="AD16" s="11">
        <f t="shared" si="1"/>
        <v>704896.182456751</v>
      </c>
      <c r="AE16" s="11">
        <f t="shared" si="2"/>
        <v>2819584.729827004</v>
      </c>
    </row>
    <row r="17" spans="2:37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4.9863830190388411E-2</v>
      </c>
      <c r="AA17" s="1">
        <v>15</v>
      </c>
      <c r="AB17" s="11">
        <f t="shared" si="3"/>
        <v>181510.76698261339</v>
      </c>
      <c r="AC17" s="11">
        <f t="shared" si="0"/>
        <v>2178129.2037913608</v>
      </c>
      <c r="AD17" s="11">
        <f t="shared" si="1"/>
        <v>726043.06793045357</v>
      </c>
      <c r="AE17" s="11">
        <f t="shared" si="2"/>
        <v>2904172.2717218143</v>
      </c>
    </row>
    <row r="18" spans="2:37" ht="14.25" customHeight="1" x14ac:dyDescent="0.2">
      <c r="H18" s="1" t="s">
        <v>79</v>
      </c>
      <c r="I18" s="6">
        <v>150000</v>
      </c>
      <c r="K18" s="6"/>
      <c r="L18" s="19" t="s">
        <v>80</v>
      </c>
      <c r="M18" s="37">
        <v>60000</v>
      </c>
      <c r="S18" s="39"/>
      <c r="T18" s="27"/>
      <c r="U18" s="40"/>
      <c r="V18" s="39"/>
      <c r="AA18" s="1">
        <v>16</v>
      </c>
      <c r="AB18" s="11">
        <f t="shared" si="3"/>
        <v>186956.08999209179</v>
      </c>
      <c r="AC18" s="11">
        <f t="shared" si="0"/>
        <v>2243473.0799051016</v>
      </c>
      <c r="AD18" s="11">
        <f t="shared" si="1"/>
        <v>747824.35996836715</v>
      </c>
      <c r="AE18" s="11">
        <f t="shared" si="2"/>
        <v>2991297.4398734686</v>
      </c>
    </row>
    <row r="19" spans="2:37" ht="14.25" customHeight="1" x14ac:dyDescent="0.2">
      <c r="B19" s="41" t="s">
        <v>81</v>
      </c>
      <c r="C19" s="42">
        <f>C4+C12+C17</f>
        <v>8825385</v>
      </c>
      <c r="H19" s="14" t="s">
        <v>82</v>
      </c>
      <c r="I19" s="15">
        <f>SUM(I18)</f>
        <v>150000</v>
      </c>
      <c r="L19" s="19" t="s">
        <v>83</v>
      </c>
      <c r="M19" s="37">
        <v>9000</v>
      </c>
      <c r="S19" s="39"/>
      <c r="T19" s="39"/>
      <c r="U19" s="39"/>
      <c r="V19" s="39"/>
      <c r="AA19" s="1">
        <v>17</v>
      </c>
      <c r="AB19" s="11">
        <f t="shared" si="3"/>
        <v>192564.77269185454</v>
      </c>
      <c r="AC19" s="11">
        <f t="shared" si="0"/>
        <v>2310777.2723022546</v>
      </c>
      <c r="AD19" s="11">
        <f t="shared" si="1"/>
        <v>770259.09076741815</v>
      </c>
      <c r="AE19" s="11">
        <f t="shared" si="2"/>
        <v>3081036.3630696726</v>
      </c>
    </row>
    <row r="20" spans="2:37" ht="14.25" customHeight="1" x14ac:dyDescent="0.2">
      <c r="L20" s="19" t="s">
        <v>84</v>
      </c>
      <c r="M20" s="37">
        <v>466800</v>
      </c>
      <c r="T20" s="43" t="s">
        <v>85</v>
      </c>
      <c r="U20" s="44" t="s">
        <v>86</v>
      </c>
      <c r="AA20" s="1">
        <v>18</v>
      </c>
      <c r="AB20" s="11">
        <f t="shared" si="3"/>
        <v>198341.71587261019</v>
      </c>
      <c r="AC20" s="11">
        <f t="shared" si="0"/>
        <v>2380100.5904713222</v>
      </c>
      <c r="AD20" s="11">
        <f t="shared" si="1"/>
        <v>793366.86349044077</v>
      </c>
      <c r="AE20" s="11">
        <f t="shared" si="2"/>
        <v>3173467.4539617631</v>
      </c>
    </row>
    <row r="21" spans="2:37" ht="14.25" customHeight="1" x14ac:dyDescent="0.2">
      <c r="M21" s="45">
        <f>SUM(M17:M20)</f>
        <v>635800</v>
      </c>
      <c r="T21" s="46" t="s">
        <v>87</v>
      </c>
      <c r="U21" s="47" t="s">
        <v>88</v>
      </c>
      <c r="AA21" s="1">
        <v>19</v>
      </c>
      <c r="AB21" s="11">
        <f t="shared" si="3"/>
        <v>204291.96734878852</v>
      </c>
      <c r="AC21" s="11">
        <f t="shared" si="0"/>
        <v>2451503.6081854622</v>
      </c>
      <c r="AD21" s="11">
        <f t="shared" si="1"/>
        <v>817167.86939515406</v>
      </c>
      <c r="AE21" s="11">
        <f t="shared" si="2"/>
        <v>3268671.4775806163</v>
      </c>
    </row>
    <row r="22" spans="2:37" ht="14.25" customHeight="1" x14ac:dyDescent="0.2">
      <c r="B22" s="1" t="s">
        <v>89</v>
      </c>
      <c r="H22" s="41" t="s">
        <v>90</v>
      </c>
      <c r="I22" s="42">
        <f>I9+I15+I19</f>
        <v>1874650</v>
      </c>
      <c r="S22" s="17" t="s">
        <v>17</v>
      </c>
      <c r="T22" s="48" t="s">
        <v>91</v>
      </c>
      <c r="U22" s="48" t="s">
        <v>92</v>
      </c>
      <c r="AA22" s="1">
        <v>20</v>
      </c>
      <c r="AB22" s="11">
        <f t="shared" si="3"/>
        <v>210420.72636925217</v>
      </c>
      <c r="AC22" s="11">
        <f t="shared" si="0"/>
        <v>2525048.7164310259</v>
      </c>
      <c r="AD22" s="11">
        <f t="shared" si="1"/>
        <v>841682.90547700867</v>
      </c>
      <c r="AE22" s="11">
        <f t="shared" si="2"/>
        <v>3366731.6219080347</v>
      </c>
    </row>
    <row r="23" spans="2:37" ht="14.25" customHeight="1" x14ac:dyDescent="0.2">
      <c r="B23" s="1" t="s">
        <v>93</v>
      </c>
      <c r="T23" s="49" t="s">
        <v>94</v>
      </c>
      <c r="U23" s="50">
        <f>C30</f>
        <v>2809000</v>
      </c>
    </row>
    <row r="24" spans="2:37" ht="14.25" customHeight="1" x14ac:dyDescent="0.2">
      <c r="B24" s="1" t="s">
        <v>95</v>
      </c>
      <c r="C24" s="6">
        <v>25000</v>
      </c>
      <c r="H24" s="51" t="s">
        <v>96</v>
      </c>
      <c r="I24" s="52">
        <f>F8-I22</f>
        <v>280400</v>
      </c>
      <c r="J24" s="53"/>
      <c r="T24" s="2" t="s">
        <v>39</v>
      </c>
      <c r="U24" s="21">
        <f>C19</f>
        <v>8825385</v>
      </c>
    </row>
    <row r="25" spans="2:37" ht="14.25" customHeight="1" x14ac:dyDescent="0.2">
      <c r="B25" s="14" t="s">
        <v>97</v>
      </c>
      <c r="C25" s="15">
        <v>25000</v>
      </c>
      <c r="H25" s="51" t="s">
        <v>98</v>
      </c>
      <c r="I25" s="52">
        <f>I24/12</f>
        <v>23366.666666666668</v>
      </c>
      <c r="T25" s="28"/>
      <c r="U25" s="38">
        <f>U23/U24</f>
        <v>0.31828639770389622</v>
      </c>
      <c r="AB25" s="1">
        <v>1</v>
      </c>
      <c r="AC25" s="1">
        <v>2</v>
      </c>
      <c r="AD25" s="1">
        <v>3</v>
      </c>
      <c r="AE25" s="1">
        <v>4</v>
      </c>
      <c r="AF25" s="1">
        <v>5</v>
      </c>
      <c r="AG25" s="1">
        <v>6</v>
      </c>
      <c r="AH25" s="1">
        <v>7</v>
      </c>
      <c r="AI25" s="1">
        <v>8</v>
      </c>
      <c r="AJ25" s="1">
        <v>9</v>
      </c>
      <c r="AK25" s="1">
        <v>10</v>
      </c>
    </row>
    <row r="26" spans="2:37" ht="14.25" customHeight="1" x14ac:dyDescent="0.2">
      <c r="B26" s="1" t="s">
        <v>99</v>
      </c>
      <c r="T26" s="9" t="s">
        <v>100</v>
      </c>
      <c r="U26" s="30" t="s">
        <v>101</v>
      </c>
      <c r="Z26" s="1">
        <v>1.03</v>
      </c>
      <c r="AA26" s="1" t="s">
        <v>0</v>
      </c>
      <c r="AB26" s="11">
        <f>F3/12</f>
        <v>120000</v>
      </c>
      <c r="AC26" s="11">
        <f t="shared" ref="AC26:AK26" si="10">AB26*$Z$26</f>
        <v>123600</v>
      </c>
      <c r="AD26" s="11">
        <f t="shared" si="10"/>
        <v>127308</v>
      </c>
      <c r="AE26" s="11">
        <f t="shared" si="10"/>
        <v>131127.24</v>
      </c>
      <c r="AF26" s="11">
        <f t="shared" si="10"/>
        <v>135061.05719999998</v>
      </c>
      <c r="AG26" s="11">
        <f t="shared" si="10"/>
        <v>139112.888916</v>
      </c>
      <c r="AH26" s="11">
        <f t="shared" si="10"/>
        <v>143286.27558347999</v>
      </c>
      <c r="AI26" s="11">
        <f t="shared" si="10"/>
        <v>147584.8638509844</v>
      </c>
      <c r="AJ26" s="11">
        <f t="shared" si="10"/>
        <v>152012.40976651394</v>
      </c>
      <c r="AK26" s="11">
        <f t="shared" si="10"/>
        <v>156572.78205950937</v>
      </c>
    </row>
    <row r="27" spans="2:37" ht="14.25" customHeight="1" x14ac:dyDescent="0.2">
      <c r="B27" s="1" t="s">
        <v>102</v>
      </c>
      <c r="C27" s="6">
        <v>2784000</v>
      </c>
      <c r="K27" s="6"/>
      <c r="S27" s="17" t="s">
        <v>17</v>
      </c>
      <c r="T27" s="18" t="s">
        <v>103</v>
      </c>
      <c r="U27" s="33" t="s">
        <v>104</v>
      </c>
      <c r="Z27" s="1">
        <v>12</v>
      </c>
      <c r="AA27" s="1" t="s">
        <v>1</v>
      </c>
      <c r="AB27" s="11">
        <f t="shared" ref="AB27:AK27" si="11">AB26*$Z$27</f>
        <v>1440000</v>
      </c>
      <c r="AC27" s="11">
        <f t="shared" si="11"/>
        <v>1483200</v>
      </c>
      <c r="AD27" s="11">
        <f t="shared" si="11"/>
        <v>1527696</v>
      </c>
      <c r="AE27" s="11">
        <f t="shared" si="11"/>
        <v>1573526.88</v>
      </c>
      <c r="AF27" s="11">
        <f t="shared" si="11"/>
        <v>1620732.6863999998</v>
      </c>
      <c r="AG27" s="11">
        <f t="shared" si="11"/>
        <v>1669354.6669919998</v>
      </c>
      <c r="AH27" s="11">
        <f t="shared" si="11"/>
        <v>1719435.3070017598</v>
      </c>
      <c r="AI27" s="11">
        <f t="shared" si="11"/>
        <v>1771018.3662118129</v>
      </c>
      <c r="AJ27" s="11">
        <f t="shared" si="11"/>
        <v>1824148.9171981672</v>
      </c>
      <c r="AK27" s="11">
        <f t="shared" si="11"/>
        <v>1878873.3847141124</v>
      </c>
    </row>
    <row r="28" spans="2:37" ht="14.25" customHeight="1" x14ac:dyDescent="0.2">
      <c r="B28" s="14" t="s">
        <v>105</v>
      </c>
      <c r="C28" s="15">
        <v>2784000</v>
      </c>
      <c r="L28" s="101" t="s">
        <v>75</v>
      </c>
      <c r="M28" s="102"/>
      <c r="T28" s="2" t="s">
        <v>106</v>
      </c>
      <c r="U28" s="21">
        <f>I6+C25</f>
        <v>373000</v>
      </c>
      <c r="AA28" s="1" t="s">
        <v>2</v>
      </c>
      <c r="AB28" s="11">
        <f t="shared" ref="AB28:AK28" si="12">AB27*(4/12)</f>
        <v>480000</v>
      </c>
      <c r="AC28" s="11">
        <f t="shared" si="12"/>
        <v>494400</v>
      </c>
      <c r="AD28" s="11">
        <f t="shared" si="12"/>
        <v>509232</v>
      </c>
      <c r="AE28" s="11">
        <f t="shared" si="12"/>
        <v>524508.96</v>
      </c>
      <c r="AF28" s="11">
        <f t="shared" si="12"/>
        <v>540244.22879999992</v>
      </c>
      <c r="AG28" s="11">
        <f t="shared" si="12"/>
        <v>556451.55566399987</v>
      </c>
      <c r="AH28" s="11">
        <f t="shared" si="12"/>
        <v>573145.10233391984</v>
      </c>
      <c r="AI28" s="11">
        <f t="shared" si="12"/>
        <v>590339.45540393761</v>
      </c>
      <c r="AJ28" s="11">
        <f t="shared" si="12"/>
        <v>608049.63906605565</v>
      </c>
      <c r="AK28" s="11">
        <f t="shared" si="12"/>
        <v>626291.12823803746</v>
      </c>
    </row>
    <row r="29" spans="2:37" ht="14.25" customHeight="1" x14ac:dyDescent="0.2">
      <c r="L29" s="19" t="s">
        <v>78</v>
      </c>
      <c r="M29" s="37">
        <v>100000</v>
      </c>
      <c r="T29" s="2" t="s">
        <v>107</v>
      </c>
      <c r="U29" s="21">
        <f>F8</f>
        <v>2155050</v>
      </c>
      <c r="AA29" s="1" t="s">
        <v>3</v>
      </c>
      <c r="AB29" s="11">
        <f t="shared" ref="AB29:AK29" si="13">AB27+AB28</f>
        <v>1920000</v>
      </c>
      <c r="AC29" s="11">
        <f t="shared" si="13"/>
        <v>1977600</v>
      </c>
      <c r="AD29" s="11">
        <f t="shared" si="13"/>
        <v>2036928</v>
      </c>
      <c r="AE29" s="11">
        <f t="shared" si="13"/>
        <v>2098035.84</v>
      </c>
      <c r="AF29" s="11">
        <f t="shared" si="13"/>
        <v>2160976.9151999997</v>
      </c>
      <c r="AG29" s="11">
        <f t="shared" si="13"/>
        <v>2225806.2226559995</v>
      </c>
      <c r="AH29" s="11">
        <f t="shared" si="13"/>
        <v>2292580.4093356794</v>
      </c>
      <c r="AI29" s="11">
        <f t="shared" si="13"/>
        <v>2361357.8216157504</v>
      </c>
      <c r="AJ29" s="11">
        <f t="shared" si="13"/>
        <v>2432198.5562642226</v>
      </c>
      <c r="AK29" s="11">
        <f t="shared" si="13"/>
        <v>2505164.5129521498</v>
      </c>
    </row>
    <row r="30" spans="2:37" ht="14.25" customHeight="1" x14ac:dyDescent="0.2">
      <c r="B30" s="41" t="s">
        <v>94</v>
      </c>
      <c r="C30" s="42">
        <f>C28+C25</f>
        <v>2809000</v>
      </c>
      <c r="D30" s="6"/>
      <c r="L30" s="19" t="s">
        <v>108</v>
      </c>
      <c r="M30" s="37">
        <v>60000</v>
      </c>
      <c r="T30" s="28"/>
      <c r="U30" s="38">
        <f>U28/U29</f>
        <v>0.17308183104800354</v>
      </c>
      <c r="AA30" s="1" t="s">
        <v>22</v>
      </c>
      <c r="AB30" s="6">
        <f>F5</f>
        <v>216000</v>
      </c>
      <c r="AC30" s="6">
        <f t="shared" ref="AC30:AK30" si="14">AB30</f>
        <v>216000</v>
      </c>
      <c r="AD30" s="6">
        <f t="shared" si="14"/>
        <v>216000</v>
      </c>
      <c r="AE30" s="6">
        <f t="shared" si="14"/>
        <v>216000</v>
      </c>
      <c r="AF30" s="6">
        <f t="shared" si="14"/>
        <v>216000</v>
      </c>
      <c r="AG30" s="6">
        <f t="shared" si="14"/>
        <v>216000</v>
      </c>
      <c r="AH30" s="6">
        <f t="shared" si="14"/>
        <v>216000</v>
      </c>
      <c r="AI30" s="6">
        <f t="shared" si="14"/>
        <v>216000</v>
      </c>
      <c r="AJ30" s="6">
        <f t="shared" si="14"/>
        <v>216000</v>
      </c>
      <c r="AK30" s="6">
        <f t="shared" si="14"/>
        <v>216000</v>
      </c>
    </row>
    <row r="31" spans="2:37" ht="14.25" customHeight="1" x14ac:dyDescent="0.2">
      <c r="L31" s="19" t="s">
        <v>83</v>
      </c>
      <c r="M31" s="37">
        <v>9000</v>
      </c>
      <c r="T31" s="9" t="s">
        <v>109</v>
      </c>
      <c r="U31" s="30" t="s">
        <v>110</v>
      </c>
    </row>
    <row r="32" spans="2:37" ht="14.25" customHeight="1" x14ac:dyDescent="0.2">
      <c r="B32" s="1" t="s">
        <v>33</v>
      </c>
      <c r="L32" s="19" t="s">
        <v>111</v>
      </c>
      <c r="M32" s="37">
        <v>150000</v>
      </c>
      <c r="S32" s="17" t="s">
        <v>17</v>
      </c>
      <c r="T32" s="18" t="s">
        <v>112</v>
      </c>
      <c r="U32" s="33" t="s">
        <v>113</v>
      </c>
      <c r="AB32" s="1">
        <v>1</v>
      </c>
      <c r="AC32" s="1">
        <v>2</v>
      </c>
      <c r="AD32" s="1">
        <v>3</v>
      </c>
      <c r="AE32" s="1">
        <v>4</v>
      </c>
      <c r="AF32" s="1">
        <v>5</v>
      </c>
      <c r="AG32" s="1">
        <v>6</v>
      </c>
      <c r="AH32" s="1">
        <v>7</v>
      </c>
      <c r="AI32" s="1">
        <v>8</v>
      </c>
      <c r="AJ32" s="1">
        <v>9</v>
      </c>
      <c r="AK32" s="1">
        <v>10</v>
      </c>
    </row>
    <row r="33" spans="1:37" ht="14.25" customHeight="1" x14ac:dyDescent="0.2">
      <c r="B33" s="41" t="s">
        <v>39</v>
      </c>
      <c r="C33" s="42">
        <f>C19</f>
        <v>8825385</v>
      </c>
      <c r="L33" s="19" t="s">
        <v>114</v>
      </c>
      <c r="M33" s="37">
        <v>15000</v>
      </c>
      <c r="T33" s="2" t="s">
        <v>115</v>
      </c>
      <c r="U33" s="21">
        <f>C24</f>
        <v>25000</v>
      </c>
      <c r="Z33" s="1">
        <v>1.03</v>
      </c>
      <c r="AA33" s="1" t="s">
        <v>10</v>
      </c>
      <c r="AB33" s="11">
        <f>F3</f>
        <v>1440000</v>
      </c>
      <c r="AC33" s="11">
        <f t="shared" ref="AC33:AK33" si="15">AB33*$Z$33</f>
        <v>1483200</v>
      </c>
      <c r="AD33" s="11">
        <f t="shared" si="15"/>
        <v>1527696</v>
      </c>
      <c r="AE33" s="11">
        <f t="shared" si="15"/>
        <v>1573526.8800000001</v>
      </c>
      <c r="AF33" s="11">
        <f t="shared" si="15"/>
        <v>1620732.6864000002</v>
      </c>
      <c r="AG33" s="11">
        <f t="shared" si="15"/>
        <v>1669354.6669920003</v>
      </c>
      <c r="AH33" s="11">
        <f t="shared" si="15"/>
        <v>1719435.3070017605</v>
      </c>
      <c r="AI33" s="11">
        <f t="shared" si="15"/>
        <v>1771018.3662118134</v>
      </c>
      <c r="AJ33" s="11">
        <f t="shared" si="15"/>
        <v>1824148.9171981679</v>
      </c>
      <c r="AK33" s="11">
        <f t="shared" si="15"/>
        <v>1878873.3847141128</v>
      </c>
    </row>
    <row r="34" spans="1:37" ht="14.25" customHeight="1" x14ac:dyDescent="0.2">
      <c r="B34" s="41" t="s">
        <v>116</v>
      </c>
      <c r="C34" s="42">
        <f>C30</f>
        <v>2809000</v>
      </c>
      <c r="L34" s="19" t="s">
        <v>117</v>
      </c>
      <c r="M34" s="37">
        <v>30000</v>
      </c>
      <c r="T34" s="2" t="s">
        <v>107</v>
      </c>
      <c r="U34" s="21">
        <f>F8</f>
        <v>2155050</v>
      </c>
      <c r="AA34" s="1" t="s">
        <v>15</v>
      </c>
      <c r="AB34" s="11">
        <f t="shared" ref="AB34:AK34" si="16">AB33*(4/12)</f>
        <v>480000</v>
      </c>
      <c r="AC34" s="11">
        <f t="shared" si="16"/>
        <v>494400</v>
      </c>
      <c r="AD34" s="11">
        <f t="shared" si="16"/>
        <v>509232</v>
      </c>
      <c r="AE34" s="11">
        <f t="shared" si="16"/>
        <v>524508.96</v>
      </c>
      <c r="AF34" s="11">
        <f t="shared" si="16"/>
        <v>540244.22880000004</v>
      </c>
      <c r="AG34" s="11">
        <f t="shared" si="16"/>
        <v>556451.5556640001</v>
      </c>
      <c r="AH34" s="11">
        <f t="shared" si="16"/>
        <v>573145.10233392008</v>
      </c>
      <c r="AI34" s="11">
        <f t="shared" si="16"/>
        <v>590339.45540393773</v>
      </c>
      <c r="AJ34" s="11">
        <f t="shared" si="16"/>
        <v>608049.63906605588</v>
      </c>
      <c r="AK34" s="11">
        <f t="shared" si="16"/>
        <v>626291.12823803758</v>
      </c>
    </row>
    <row r="35" spans="1:37" ht="14.25" customHeight="1" x14ac:dyDescent="0.2">
      <c r="L35" s="19" t="s">
        <v>118</v>
      </c>
      <c r="M35" s="37">
        <v>72000</v>
      </c>
      <c r="T35" s="28"/>
      <c r="U35" s="38">
        <f>U33/U34</f>
        <v>1.160065891742651E-2</v>
      </c>
      <c r="Z35" s="1">
        <v>1</v>
      </c>
      <c r="AA35" s="1" t="s">
        <v>22</v>
      </c>
      <c r="AB35" s="11">
        <f t="shared" ref="AB35:AB37" si="17">F5</f>
        <v>216000</v>
      </c>
      <c r="AC35" s="11">
        <f t="shared" ref="AC35:AK35" si="18">AB35*$Z$35</f>
        <v>216000</v>
      </c>
      <c r="AD35" s="11">
        <f t="shared" si="18"/>
        <v>216000</v>
      </c>
      <c r="AE35" s="11">
        <f t="shared" si="18"/>
        <v>216000</v>
      </c>
      <c r="AF35" s="11">
        <f t="shared" si="18"/>
        <v>216000</v>
      </c>
      <c r="AG35" s="11">
        <f t="shared" si="18"/>
        <v>216000</v>
      </c>
      <c r="AH35" s="11">
        <f t="shared" si="18"/>
        <v>216000</v>
      </c>
      <c r="AI35" s="11">
        <f t="shared" si="18"/>
        <v>216000</v>
      </c>
      <c r="AJ35" s="11">
        <f t="shared" si="18"/>
        <v>216000</v>
      </c>
      <c r="AK35" s="11">
        <f t="shared" si="18"/>
        <v>216000</v>
      </c>
    </row>
    <row r="36" spans="1:37" ht="14.25" customHeight="1" x14ac:dyDescent="0.2">
      <c r="B36" s="54" t="s">
        <v>119</v>
      </c>
      <c r="C36" s="55">
        <f>C33-C34</f>
        <v>6016385</v>
      </c>
      <c r="L36" s="19" t="s">
        <v>120</v>
      </c>
      <c r="M36" s="37">
        <v>100000</v>
      </c>
      <c r="S36" s="39"/>
      <c r="T36" s="27"/>
      <c r="U36" s="40"/>
      <c r="V36" s="39"/>
      <c r="Z36" s="1">
        <v>1</v>
      </c>
      <c r="AA36" s="1" t="s">
        <v>29</v>
      </c>
      <c r="AB36" s="11">
        <f t="shared" si="17"/>
        <v>15750</v>
      </c>
      <c r="AC36" s="11">
        <f t="shared" ref="AC36:AK36" si="19">AB36*$Z$36</f>
        <v>15750</v>
      </c>
      <c r="AD36" s="11">
        <f t="shared" si="19"/>
        <v>15750</v>
      </c>
      <c r="AE36" s="11">
        <f t="shared" si="19"/>
        <v>15750</v>
      </c>
      <c r="AF36" s="11">
        <f t="shared" si="19"/>
        <v>15750</v>
      </c>
      <c r="AG36" s="11">
        <f t="shared" si="19"/>
        <v>15750</v>
      </c>
      <c r="AH36" s="11">
        <f t="shared" si="19"/>
        <v>15750</v>
      </c>
      <c r="AI36" s="11">
        <f t="shared" si="19"/>
        <v>15750</v>
      </c>
      <c r="AJ36" s="11">
        <f t="shared" si="19"/>
        <v>15750</v>
      </c>
      <c r="AK36" s="11">
        <f t="shared" si="19"/>
        <v>15750</v>
      </c>
    </row>
    <row r="37" spans="1:37" ht="14.25" customHeight="1" x14ac:dyDescent="0.2">
      <c r="L37" s="19" t="s">
        <v>121</v>
      </c>
      <c r="M37" s="37">
        <v>12000</v>
      </c>
      <c r="S37" s="39"/>
      <c r="T37" s="39"/>
      <c r="U37" s="39"/>
      <c r="V37" s="39"/>
      <c r="Z37" s="1">
        <v>1</v>
      </c>
      <c r="AA37" s="1" t="s">
        <v>35</v>
      </c>
      <c r="AB37" s="7">
        <f t="shared" si="17"/>
        <v>3300</v>
      </c>
      <c r="AC37" s="7">
        <f t="shared" ref="AC37:AK37" si="20">AB37*$Z$37</f>
        <v>3300</v>
      </c>
      <c r="AD37" s="7">
        <f t="shared" si="20"/>
        <v>3300</v>
      </c>
      <c r="AE37" s="7">
        <f t="shared" si="20"/>
        <v>3300</v>
      </c>
      <c r="AF37" s="7">
        <f t="shared" si="20"/>
        <v>3300</v>
      </c>
      <c r="AG37" s="7">
        <f t="shared" si="20"/>
        <v>3300</v>
      </c>
      <c r="AH37" s="7">
        <f t="shared" si="20"/>
        <v>3300</v>
      </c>
      <c r="AI37" s="7">
        <f t="shared" si="20"/>
        <v>3300</v>
      </c>
      <c r="AJ37" s="7">
        <f t="shared" si="20"/>
        <v>3300</v>
      </c>
      <c r="AK37" s="7">
        <f t="shared" si="20"/>
        <v>3300</v>
      </c>
    </row>
    <row r="38" spans="1:37" ht="14.25" customHeight="1" x14ac:dyDescent="0.2">
      <c r="A38" s="1">
        <v>45</v>
      </c>
      <c r="G38" s="56"/>
      <c r="L38" s="19" t="s">
        <v>122</v>
      </c>
      <c r="M38" s="19">
        <v>4100</v>
      </c>
      <c r="T38" s="2" t="s">
        <v>123</v>
      </c>
      <c r="U38" s="57" t="s">
        <v>124</v>
      </c>
    </row>
    <row r="39" spans="1:37" ht="19.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56"/>
      <c r="L39" s="19" t="s">
        <v>128</v>
      </c>
      <c r="M39" s="37">
        <v>30000</v>
      </c>
      <c r="T39" s="9" t="s">
        <v>129</v>
      </c>
      <c r="U39" s="10" t="s">
        <v>130</v>
      </c>
      <c r="AB39" s="1">
        <v>1</v>
      </c>
      <c r="AC39" s="1">
        <v>2</v>
      </c>
      <c r="AD39" s="1">
        <v>3</v>
      </c>
      <c r="AE39" s="1">
        <v>4</v>
      </c>
      <c r="AF39" s="1">
        <v>5</v>
      </c>
      <c r="AG39" s="1">
        <v>6</v>
      </c>
      <c r="AH39" s="1">
        <v>7</v>
      </c>
      <c r="AI39" s="1">
        <v>8</v>
      </c>
      <c r="AJ39" s="1">
        <v>9</v>
      </c>
      <c r="AK39" s="1">
        <v>10</v>
      </c>
    </row>
    <row r="40" spans="1:37" ht="19.5" customHeight="1" x14ac:dyDescent="0.2">
      <c r="B40" s="27" t="s">
        <v>131</v>
      </c>
      <c r="D40" s="7">
        <v>1000000</v>
      </c>
      <c r="E40" s="7">
        <v>640</v>
      </c>
      <c r="G40" s="56"/>
      <c r="H40" s="56"/>
      <c r="L40" s="19" t="s">
        <v>128</v>
      </c>
      <c r="M40" s="37">
        <v>30000</v>
      </c>
      <c r="S40" s="17" t="s">
        <v>17</v>
      </c>
      <c r="T40" s="58" t="s">
        <v>132</v>
      </c>
      <c r="U40" s="33" t="s">
        <v>133</v>
      </c>
      <c r="Z40" s="1">
        <v>1.0024999999999999</v>
      </c>
      <c r="AA40" s="1" t="s">
        <v>9</v>
      </c>
      <c r="AB40" s="11">
        <v>300000</v>
      </c>
      <c r="AC40" s="11">
        <f t="shared" ref="AC40:AK40" si="21">AB40*$Z$40</f>
        <v>300750</v>
      </c>
      <c r="AD40" s="11">
        <f t="shared" si="21"/>
        <v>301501.875</v>
      </c>
      <c r="AE40" s="11">
        <f t="shared" si="21"/>
        <v>302255.62968750001</v>
      </c>
      <c r="AF40" s="11">
        <f t="shared" si="21"/>
        <v>303011.26876171876</v>
      </c>
      <c r="AG40" s="11">
        <f t="shared" si="21"/>
        <v>303768.79693362303</v>
      </c>
      <c r="AH40" s="11">
        <f t="shared" si="21"/>
        <v>304528.21892595704</v>
      </c>
      <c r="AI40" s="11">
        <f t="shared" si="21"/>
        <v>305289.53947327193</v>
      </c>
      <c r="AJ40" s="11">
        <f t="shared" si="21"/>
        <v>306052.76332195511</v>
      </c>
      <c r="AK40" s="11">
        <f t="shared" si="21"/>
        <v>306817.89523025998</v>
      </c>
    </row>
    <row r="41" spans="1:37" ht="19.5" customHeight="1" x14ac:dyDescent="0.2">
      <c r="B41" s="1" t="s">
        <v>134</v>
      </c>
      <c r="E41" s="7">
        <v>27868</v>
      </c>
      <c r="H41" s="56"/>
      <c r="L41" s="19" t="s">
        <v>135</v>
      </c>
      <c r="M41" s="37">
        <v>23700</v>
      </c>
      <c r="T41" s="2" t="s">
        <v>136</v>
      </c>
      <c r="U41" s="21">
        <f>I7+I18</f>
        <v>222000</v>
      </c>
    </row>
    <row r="42" spans="1:37" ht="19.5" customHeight="1" x14ac:dyDescent="0.2">
      <c r="B42" s="1" t="s">
        <v>137</v>
      </c>
      <c r="D42" s="7">
        <v>1000000</v>
      </c>
      <c r="E42" s="7">
        <v>7620</v>
      </c>
      <c r="H42" s="56"/>
      <c r="M42" s="45">
        <f>SUM(M29:M41)</f>
        <v>635800</v>
      </c>
      <c r="T42" s="2" t="s">
        <v>138</v>
      </c>
      <c r="U42" s="21">
        <f>F8</f>
        <v>2155050</v>
      </c>
      <c r="Z42" s="32"/>
      <c r="AB42" s="1">
        <v>1</v>
      </c>
      <c r="AC42" s="1">
        <v>2</v>
      </c>
      <c r="AD42" s="1">
        <v>3</v>
      </c>
      <c r="AE42" s="1">
        <v>4</v>
      </c>
      <c r="AF42" s="1">
        <v>5</v>
      </c>
      <c r="AG42" s="1">
        <v>6</v>
      </c>
      <c r="AH42" s="1">
        <v>7</v>
      </c>
      <c r="AI42" s="1">
        <v>8</v>
      </c>
      <c r="AJ42" s="1">
        <v>9</v>
      </c>
      <c r="AK42" s="1">
        <v>10</v>
      </c>
    </row>
    <row r="43" spans="1:37" ht="19.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0.10301385118674741</v>
      </c>
      <c r="Z43" s="1">
        <v>1.012</v>
      </c>
      <c r="AA43" s="1" t="s">
        <v>34</v>
      </c>
      <c r="AB43" s="11">
        <v>500000</v>
      </c>
      <c r="AC43" s="11">
        <f t="shared" ref="AC43:AK43" si="22">AB43*$Z$43</f>
        <v>506000</v>
      </c>
      <c r="AD43" s="11">
        <f t="shared" si="22"/>
        <v>512072</v>
      </c>
      <c r="AE43" s="11">
        <f t="shared" si="22"/>
        <v>518216.864</v>
      </c>
      <c r="AF43" s="11">
        <f t="shared" si="22"/>
        <v>524435.46636800002</v>
      </c>
      <c r="AG43" s="11">
        <f t="shared" si="22"/>
        <v>530728.69196441607</v>
      </c>
      <c r="AH43" s="11">
        <f t="shared" si="22"/>
        <v>537097.43626798911</v>
      </c>
      <c r="AI43" s="11">
        <f t="shared" si="22"/>
        <v>543542.60550320498</v>
      </c>
      <c r="AJ43" s="11">
        <f t="shared" si="22"/>
        <v>550065.1167692435</v>
      </c>
      <c r="AK43" s="11">
        <f t="shared" si="22"/>
        <v>556665.89817047445</v>
      </c>
    </row>
    <row r="44" spans="1:37" ht="19.5" customHeight="1" x14ac:dyDescent="0.2">
      <c r="B44" s="1" t="s">
        <v>140</v>
      </c>
      <c r="D44" s="7">
        <v>1000000</v>
      </c>
      <c r="E44" s="7">
        <v>10710</v>
      </c>
      <c r="G44" s="60"/>
      <c r="M44" s="11">
        <f>SUM(M33:M41)</f>
        <v>316800</v>
      </c>
      <c r="T44" s="9" t="s">
        <v>141</v>
      </c>
      <c r="U44" s="30" t="s">
        <v>142</v>
      </c>
      <c r="Z44" s="1">
        <v>1.01963235</v>
      </c>
      <c r="AA44" s="1" t="s">
        <v>43</v>
      </c>
      <c r="AB44" s="11">
        <v>600000</v>
      </c>
      <c r="AC44" s="11">
        <f t="shared" ref="AC44:AK44" si="23">AB44*$Z$44</f>
        <v>611779.41</v>
      </c>
      <c r="AD44" s="11">
        <f t="shared" si="23"/>
        <v>623790.07749991352</v>
      </c>
      <c r="AE44" s="11">
        <f t="shared" si="23"/>
        <v>636036.54262791888</v>
      </c>
      <c r="AF44" s="11">
        <f t="shared" si="23"/>
        <v>648523.43464558013</v>
      </c>
      <c r="AG44" s="11">
        <f t="shared" si="23"/>
        <v>661255.47369774431</v>
      </c>
      <c r="AH44" s="11">
        <f t="shared" si="23"/>
        <v>674237.47259679425</v>
      </c>
      <c r="AI44" s="11">
        <f t="shared" si="23"/>
        <v>687474.33864192991</v>
      </c>
      <c r="AJ44" s="11">
        <f t="shared" si="23"/>
        <v>700971.07547416678</v>
      </c>
      <c r="AK44" s="11">
        <f t="shared" si="23"/>
        <v>714732.78496775206</v>
      </c>
    </row>
    <row r="45" spans="1:37" ht="19.5" customHeight="1" x14ac:dyDescent="0.2">
      <c r="A45" s="1">
        <v>44</v>
      </c>
      <c r="E45" s="61">
        <f>SUM(E39:E44)</f>
        <v>86381</v>
      </c>
      <c r="G45" s="60"/>
      <c r="H45" s="56"/>
      <c r="M45" s="11"/>
      <c r="S45" s="17" t="s">
        <v>17</v>
      </c>
      <c r="T45" s="18" t="s">
        <v>143</v>
      </c>
      <c r="U45" s="33" t="s">
        <v>144</v>
      </c>
      <c r="AA45" s="1" t="s">
        <v>50</v>
      </c>
      <c r="AB45" s="6">
        <v>900000</v>
      </c>
    </row>
    <row r="46" spans="1:37" ht="19.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M46" s="37">
        <f>SUM(M29:M32)</f>
        <v>319000</v>
      </c>
      <c r="T46" s="2" t="s">
        <v>146</v>
      </c>
      <c r="U46" s="21">
        <f>C12</f>
        <v>3325385</v>
      </c>
      <c r="AA46" s="1" t="s">
        <v>55</v>
      </c>
      <c r="AB46" s="6">
        <v>1070000</v>
      </c>
    </row>
    <row r="47" spans="1:37" ht="19.5" customHeight="1" x14ac:dyDescent="0.2">
      <c r="B47" s="1" t="s">
        <v>134</v>
      </c>
      <c r="E47" s="7">
        <v>29981</v>
      </c>
      <c r="H47" s="56"/>
      <c r="M47" s="1">
        <v>635800</v>
      </c>
      <c r="T47" s="2" t="s">
        <v>33</v>
      </c>
      <c r="U47" s="21">
        <f>C36</f>
        <v>6016385</v>
      </c>
      <c r="AA47" s="1" t="s">
        <v>57</v>
      </c>
      <c r="AB47" s="6">
        <v>255385</v>
      </c>
    </row>
    <row r="48" spans="1:37" ht="19.5" customHeight="1" x14ac:dyDescent="0.2">
      <c r="B48" s="59" t="s">
        <v>139</v>
      </c>
      <c r="E48" s="7">
        <v>6764</v>
      </c>
      <c r="H48" s="56"/>
      <c r="T48" s="28"/>
      <c r="U48" s="38">
        <f>U46/U47</f>
        <v>0.55272144319221594</v>
      </c>
    </row>
    <row r="49" spans="1:37" ht="19.5" customHeight="1" x14ac:dyDescent="0.2">
      <c r="A49" s="1">
        <v>16</v>
      </c>
      <c r="B49" s="62"/>
      <c r="E49" s="61">
        <f>SUM(E46:E48)</f>
        <v>42339</v>
      </c>
      <c r="Z49" s="1">
        <v>1.1499999999999999</v>
      </c>
      <c r="AC49" s="11">
        <f>AC40+AC43+AC44-AB40-AB43-AB44</f>
        <v>18529.410000000149</v>
      </c>
    </row>
    <row r="50" spans="1:37" ht="19.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  <c r="Z50" s="1">
        <v>0.15</v>
      </c>
      <c r="AC50" s="11">
        <f>AC49/Z49</f>
        <v>16112.530434782739</v>
      </c>
    </row>
    <row r="51" spans="1:37" ht="19.5" customHeight="1" x14ac:dyDescent="0.2">
      <c r="B51" s="1" t="s">
        <v>148</v>
      </c>
      <c r="E51" s="7">
        <v>49813</v>
      </c>
      <c r="H51" s="56"/>
      <c r="AC51" s="11">
        <f>AC49-(AC49*Z50)</f>
        <v>15749.998500000127</v>
      </c>
    </row>
    <row r="52" spans="1:37" ht="19.5" customHeight="1" x14ac:dyDescent="0.2">
      <c r="E52" s="61">
        <f>SUM(E50:E51)</f>
        <v>52877</v>
      </c>
      <c r="H52" s="56"/>
    </row>
    <row r="53" spans="1:37" ht="19.5" customHeight="1" x14ac:dyDescent="0.2">
      <c r="H53" s="56"/>
    </row>
    <row r="54" spans="1:37" ht="19.5" customHeight="1" x14ac:dyDescent="0.2">
      <c r="E54" s="25">
        <f>E45+E49+E52</f>
        <v>181597</v>
      </c>
      <c r="F54" s="6">
        <f>F8</f>
        <v>2155050</v>
      </c>
      <c r="G54" s="32">
        <f>E54/F54</f>
        <v>8.4265794297116073E-2</v>
      </c>
      <c r="T54" s="9" t="s">
        <v>149</v>
      </c>
      <c r="U54" s="30" t="s">
        <v>150</v>
      </c>
    </row>
    <row r="55" spans="1:37" ht="19.5" customHeight="1" x14ac:dyDescent="0.2">
      <c r="T55" s="2"/>
      <c r="U55" s="21" t="s">
        <v>151</v>
      </c>
      <c r="AB55" s="11">
        <f>AB44*AD56</f>
        <v>11779.41</v>
      </c>
      <c r="AC55" s="63">
        <v>11779.41</v>
      </c>
      <c r="AD55" s="64">
        <f>AC55/AB44</f>
        <v>1.963235E-2</v>
      </c>
    </row>
    <row r="56" spans="1:37" ht="19.5" customHeight="1" x14ac:dyDescent="0.2">
      <c r="H56" s="56"/>
      <c r="T56" s="2" t="s">
        <v>152</v>
      </c>
      <c r="U56" s="21">
        <f>I7+I18+I24</f>
        <v>502400</v>
      </c>
      <c r="AD56" s="1">
        <v>1.963235E-2</v>
      </c>
    </row>
    <row r="57" spans="1:37" ht="19.5" customHeight="1" x14ac:dyDescent="0.2">
      <c r="H57" s="56"/>
      <c r="T57" s="2" t="s">
        <v>138</v>
      </c>
      <c r="U57" s="21">
        <f>F8</f>
        <v>2155050</v>
      </c>
    </row>
    <row r="58" spans="1:37" ht="19.5" customHeight="1" x14ac:dyDescent="0.2">
      <c r="H58" s="56"/>
      <c r="T58" s="28"/>
      <c r="U58" s="38">
        <f>U56/U57</f>
        <v>0.23312684160460315</v>
      </c>
    </row>
    <row r="59" spans="1:37" ht="19.5" customHeight="1" x14ac:dyDescent="0.2">
      <c r="A59" s="1">
        <v>45</v>
      </c>
      <c r="H59" s="56"/>
      <c r="AB59" s="1">
        <f>C7*0.012</f>
        <v>6000</v>
      </c>
    </row>
    <row r="60" spans="1:37" ht="19.5" customHeight="1" x14ac:dyDescent="0.2">
      <c r="A60" s="1" t="s">
        <v>125</v>
      </c>
      <c r="B60" s="1" t="s">
        <v>126</v>
      </c>
      <c r="C60" s="1" t="s">
        <v>127</v>
      </c>
      <c r="D60" s="7">
        <v>1000000</v>
      </c>
      <c r="E60" s="7">
        <v>33800</v>
      </c>
    </row>
    <row r="61" spans="1:37" ht="19.5" customHeight="1" x14ac:dyDescent="0.2">
      <c r="B61" s="27" t="s">
        <v>131</v>
      </c>
      <c r="D61" s="7">
        <v>1000000</v>
      </c>
      <c r="E61" s="7">
        <v>640</v>
      </c>
      <c r="H61" s="56"/>
    </row>
    <row r="62" spans="1:37" ht="19.5" customHeight="1" x14ac:dyDescent="0.2">
      <c r="B62" s="1" t="s">
        <v>134</v>
      </c>
      <c r="E62" s="7">
        <v>27868</v>
      </c>
      <c r="G62" s="60"/>
      <c r="H62" s="56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spans="1:37" ht="19.5" customHeight="1" x14ac:dyDescent="0.2">
      <c r="B63" s="1" t="s">
        <v>137</v>
      </c>
      <c r="D63" s="7">
        <v>1000000</v>
      </c>
      <c r="E63" s="7">
        <v>7620</v>
      </c>
      <c r="G63" s="56"/>
      <c r="H63" s="56"/>
    </row>
    <row r="64" spans="1:37" ht="19.5" customHeight="1" x14ac:dyDescent="0.2">
      <c r="B64" s="59" t="s">
        <v>139</v>
      </c>
      <c r="D64" s="7"/>
      <c r="E64" s="7">
        <v>5743</v>
      </c>
      <c r="G64" s="56"/>
      <c r="H64" s="56"/>
    </row>
    <row r="65" spans="1:8" ht="19.5" customHeight="1" x14ac:dyDescent="0.2">
      <c r="B65" s="1" t="s">
        <v>140</v>
      </c>
      <c r="D65" s="7">
        <v>1000000</v>
      </c>
      <c r="E65" s="7">
        <v>10710</v>
      </c>
    </row>
    <row r="66" spans="1:8" ht="19.5" customHeight="1" x14ac:dyDescent="0.2">
      <c r="A66" s="1">
        <v>44</v>
      </c>
      <c r="E66" s="61">
        <f>SUM(E60:E65)</f>
        <v>86381</v>
      </c>
      <c r="G66" s="56"/>
      <c r="H66" s="56"/>
    </row>
    <row r="67" spans="1:8" ht="19.5" customHeight="1" x14ac:dyDescent="0.2">
      <c r="A67" s="1" t="s">
        <v>145</v>
      </c>
      <c r="B67" s="1" t="s">
        <v>126</v>
      </c>
      <c r="C67" s="1" t="s">
        <v>127</v>
      </c>
      <c r="D67" s="7">
        <v>200000</v>
      </c>
      <c r="E67" s="7">
        <v>5594</v>
      </c>
      <c r="H67" s="56"/>
    </row>
    <row r="68" spans="1:8" ht="19.5" customHeight="1" x14ac:dyDescent="0.2">
      <c r="B68" s="1" t="s">
        <v>134</v>
      </c>
      <c r="E68" s="7">
        <v>29981</v>
      </c>
      <c r="G68" s="60"/>
      <c r="H68" s="56"/>
    </row>
    <row r="69" spans="1:8" ht="19.5" customHeight="1" x14ac:dyDescent="0.2">
      <c r="B69" s="59" t="s">
        <v>139</v>
      </c>
      <c r="E69" s="7">
        <v>6764</v>
      </c>
      <c r="G69" s="56"/>
      <c r="H69" s="56"/>
    </row>
    <row r="70" spans="1:8" ht="19.5" customHeight="1" x14ac:dyDescent="0.2">
      <c r="A70" s="1">
        <v>16</v>
      </c>
      <c r="B70" s="62"/>
      <c r="E70" s="61">
        <f>SUM(E67:E69)</f>
        <v>42339</v>
      </c>
      <c r="G70" s="56"/>
    </row>
    <row r="71" spans="1:8" ht="19.5" customHeight="1" x14ac:dyDescent="0.2">
      <c r="A71" s="1" t="s">
        <v>147</v>
      </c>
      <c r="B71" s="1" t="s">
        <v>126</v>
      </c>
      <c r="C71" s="1" t="s">
        <v>127</v>
      </c>
      <c r="D71" s="7">
        <v>200000</v>
      </c>
      <c r="E71" s="7">
        <v>3064</v>
      </c>
      <c r="G71" s="56"/>
      <c r="H71" s="56"/>
    </row>
    <row r="72" spans="1:8" ht="19.5" customHeight="1" x14ac:dyDescent="0.2">
      <c r="B72" s="1" t="s">
        <v>134</v>
      </c>
      <c r="E72" s="7">
        <v>19269</v>
      </c>
      <c r="H72" s="56"/>
    </row>
    <row r="73" spans="1:8" ht="19.5" customHeight="1" x14ac:dyDescent="0.2">
      <c r="B73" s="59" t="s">
        <v>139</v>
      </c>
      <c r="E73" s="7">
        <v>1642</v>
      </c>
      <c r="G73" s="60"/>
      <c r="H73" s="56"/>
    </row>
    <row r="74" spans="1:8" ht="19.5" customHeight="1" x14ac:dyDescent="0.2">
      <c r="E74" s="61">
        <f>SUM(E71:E73)</f>
        <v>23975</v>
      </c>
      <c r="G74" s="56"/>
      <c r="H74" s="56"/>
    </row>
    <row r="75" spans="1:8" ht="19.5" customHeight="1" x14ac:dyDescent="0.2">
      <c r="G75" s="56" t="s">
        <v>153</v>
      </c>
    </row>
    <row r="76" spans="1:8" ht="19.5" customHeight="1" x14ac:dyDescent="0.2">
      <c r="B76" s="32"/>
      <c r="E76" s="7">
        <f>E66+E70+E74</f>
        <v>152695</v>
      </c>
      <c r="F76" s="6">
        <f>F8</f>
        <v>2155050</v>
      </c>
      <c r="G76" s="65">
        <f>E76/F76</f>
        <v>7.0854504535857635E-2</v>
      </c>
    </row>
    <row r="77" spans="1:8" ht="19.5" customHeight="1" x14ac:dyDescent="0.2">
      <c r="G77" s="56" t="s">
        <v>153</v>
      </c>
      <c r="H77" s="56"/>
    </row>
    <row r="78" spans="1:8" ht="19.5" customHeight="1" x14ac:dyDescent="0.2">
      <c r="B78" s="62"/>
      <c r="E78" s="7">
        <f t="shared" ref="E78:F78" si="24">E76/12</f>
        <v>12724.583333333334</v>
      </c>
      <c r="F78" s="7">
        <f t="shared" si="24"/>
        <v>179587.5</v>
      </c>
      <c r="G78" s="32">
        <f>E78/F78</f>
        <v>7.0854504535857635E-2</v>
      </c>
      <c r="H78" s="56"/>
    </row>
    <row r="79" spans="1:8" ht="19.5" customHeight="1" x14ac:dyDescent="0.2">
      <c r="G79" s="56"/>
      <c r="H79" s="56"/>
    </row>
    <row r="80" spans="1:8" ht="19.5" customHeight="1" x14ac:dyDescent="0.2">
      <c r="A80" s="1">
        <v>45</v>
      </c>
      <c r="B80" s="32"/>
      <c r="G80" s="56"/>
      <c r="H80" s="56"/>
    </row>
    <row r="81" spans="1:8" ht="19.5" customHeight="1" x14ac:dyDescent="0.2">
      <c r="A81" s="1" t="s">
        <v>125</v>
      </c>
      <c r="B81" s="1" t="s">
        <v>126</v>
      </c>
      <c r="C81" s="1" t="s">
        <v>127</v>
      </c>
      <c r="D81" s="7">
        <v>1000000</v>
      </c>
      <c r="E81" s="7">
        <v>33800</v>
      </c>
      <c r="G81" s="56"/>
    </row>
    <row r="82" spans="1:8" ht="19.5" customHeight="1" x14ac:dyDescent="0.2">
      <c r="B82" s="66" t="s">
        <v>131</v>
      </c>
      <c r="D82" s="7">
        <v>1000000</v>
      </c>
      <c r="E82" s="7">
        <v>640</v>
      </c>
      <c r="H82" s="56"/>
    </row>
    <row r="83" spans="1:8" ht="19.5" customHeight="1" x14ac:dyDescent="0.2">
      <c r="B83" s="1" t="s">
        <v>154</v>
      </c>
      <c r="E83" s="7">
        <v>49057</v>
      </c>
      <c r="G83" s="60"/>
      <c r="H83" s="56"/>
    </row>
    <row r="84" spans="1:8" ht="19.5" customHeight="1" x14ac:dyDescent="0.2">
      <c r="B84" s="1" t="s">
        <v>137</v>
      </c>
      <c r="D84" s="7">
        <v>1000000</v>
      </c>
      <c r="E84" s="7">
        <v>7620</v>
      </c>
      <c r="G84" s="56"/>
      <c r="H84" s="56"/>
    </row>
    <row r="85" spans="1:8" ht="19.5" customHeight="1" x14ac:dyDescent="0.2">
      <c r="B85" s="1" t="s">
        <v>140</v>
      </c>
      <c r="D85" s="7">
        <v>1000000</v>
      </c>
      <c r="E85" s="7">
        <v>10710</v>
      </c>
      <c r="G85" s="56"/>
      <c r="H85" s="56"/>
    </row>
    <row r="86" spans="1:8" ht="19.5" customHeight="1" x14ac:dyDescent="0.2">
      <c r="E86" s="7">
        <f>SUM(E81:E85)</f>
        <v>101827</v>
      </c>
      <c r="G86" s="56"/>
    </row>
    <row r="87" spans="1:8" ht="19.5" customHeight="1" x14ac:dyDescent="0.2"/>
    <row r="88" spans="1:8" ht="19.5" customHeight="1" x14ac:dyDescent="0.2">
      <c r="A88" s="1">
        <v>44</v>
      </c>
      <c r="G88" s="60"/>
      <c r="H88" s="60"/>
    </row>
    <row r="89" spans="1:8" ht="19.5" customHeight="1" x14ac:dyDescent="0.2">
      <c r="A89" s="1" t="s">
        <v>145</v>
      </c>
      <c r="B89" s="1" t="s">
        <v>126</v>
      </c>
      <c r="C89" s="1" t="s">
        <v>127</v>
      </c>
      <c r="D89" s="7">
        <v>200000</v>
      </c>
      <c r="E89" s="7">
        <v>5594</v>
      </c>
      <c r="G89" s="56"/>
      <c r="H89" s="60"/>
    </row>
    <row r="90" spans="1:8" ht="19.5" customHeight="1" x14ac:dyDescent="0.2">
      <c r="B90" s="1" t="s">
        <v>154</v>
      </c>
      <c r="E90" s="7">
        <v>48026</v>
      </c>
      <c r="G90" s="56"/>
      <c r="H90" s="60"/>
    </row>
    <row r="91" spans="1:8" ht="19.5" customHeight="1" x14ac:dyDescent="0.2">
      <c r="E91" s="7">
        <f>SUM(E89:E90)</f>
        <v>53620</v>
      </c>
      <c r="G91" s="56"/>
      <c r="H91" s="60"/>
    </row>
    <row r="92" spans="1:8" ht="14.25" customHeight="1" x14ac:dyDescent="0.2"/>
    <row r="93" spans="1:8" ht="14.25" customHeight="1" x14ac:dyDescent="0.2">
      <c r="A93" s="1">
        <v>16</v>
      </c>
      <c r="G93" s="60"/>
    </row>
    <row r="94" spans="1:8" ht="14.25" customHeight="1" x14ac:dyDescent="0.2">
      <c r="A94" s="1" t="s">
        <v>147</v>
      </c>
      <c r="B94" s="1" t="s">
        <v>126</v>
      </c>
      <c r="C94" s="1" t="s">
        <v>127</v>
      </c>
      <c r="D94" s="7">
        <v>200000</v>
      </c>
      <c r="E94" s="7">
        <v>3064</v>
      </c>
      <c r="G94" s="56"/>
    </row>
    <row r="95" spans="1:8" ht="14.25" customHeight="1" x14ac:dyDescent="0.2">
      <c r="B95" s="1" t="s">
        <v>148</v>
      </c>
      <c r="E95" s="7">
        <v>49813</v>
      </c>
      <c r="G95" s="56"/>
    </row>
    <row r="96" spans="1:8" ht="14.25" customHeight="1" x14ac:dyDescent="0.2">
      <c r="E96" s="7">
        <f>SUM(E94:E95)</f>
        <v>52877</v>
      </c>
      <c r="G96" s="56"/>
    </row>
    <row r="97" spans="5:7" ht="14.25" customHeight="1" x14ac:dyDescent="0.2"/>
    <row r="98" spans="5:7" ht="14.25" customHeight="1" x14ac:dyDescent="0.2">
      <c r="E98" s="7">
        <f>E86+E91+E96</f>
        <v>208324</v>
      </c>
      <c r="F98" s="6">
        <f>F76</f>
        <v>2155050</v>
      </c>
      <c r="G98" s="32">
        <f>E98/F98</f>
        <v>9.6667826732558415E-2</v>
      </c>
    </row>
    <row r="99" spans="5:7" ht="14.25" customHeight="1" x14ac:dyDescent="0.2">
      <c r="G99" s="60"/>
    </row>
    <row r="100" spans="5:7" ht="14.25" customHeight="1" x14ac:dyDescent="0.2">
      <c r="G100" s="56"/>
    </row>
    <row r="101" spans="5:7" ht="14.25" customHeight="1" x14ac:dyDescent="0.2">
      <c r="E101" s="7">
        <f>E66+E70+E96</f>
        <v>181597</v>
      </c>
      <c r="F101" s="6">
        <f>F98</f>
        <v>2155050</v>
      </c>
      <c r="G101" s="67">
        <f>E101/F101</f>
        <v>8.4265794297116073E-2</v>
      </c>
    </row>
    <row r="102" spans="5:7" ht="14.25" customHeight="1" x14ac:dyDescent="0.2">
      <c r="E102" s="7">
        <f>E66+E70+E96</f>
        <v>181597</v>
      </c>
    </row>
    <row r="103" spans="5:7" ht="15.75" customHeight="1" x14ac:dyDescent="0.2"/>
    <row r="104" spans="5:7" ht="15.75" customHeight="1" x14ac:dyDescent="0.2"/>
    <row r="105" spans="5:7" ht="15.75" customHeight="1" x14ac:dyDescent="0.2"/>
    <row r="106" spans="5:7" ht="15.75" customHeight="1" x14ac:dyDescent="0.2"/>
    <row r="107" spans="5:7" ht="15.75" customHeight="1" x14ac:dyDescent="0.2"/>
    <row r="108" spans="5:7" ht="15.75" customHeight="1" x14ac:dyDescent="0.2"/>
    <row r="109" spans="5:7" ht="15.75" customHeight="1" x14ac:dyDescent="0.2"/>
    <row r="110" spans="5:7" ht="15.75" customHeight="1" x14ac:dyDescent="0.2"/>
    <row r="111" spans="5:7" ht="15.75" customHeight="1" x14ac:dyDescent="0.2"/>
    <row r="112" spans="5:7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L16:M16"/>
    <mergeCell ref="L28:M28"/>
  </mergeCells>
  <conditionalFormatting sqref="U7">
    <cfRule type="cellIs" dxfId="526" priority="1" operator="lessThan">
      <formula>1.01</formula>
    </cfRule>
    <cfRule type="cellIs" dxfId="525" priority="2" operator="greaterThan">
      <formula>1</formula>
    </cfRule>
  </conditionalFormatting>
  <conditionalFormatting sqref="U12">
    <cfRule type="cellIs" dxfId="524" priority="3" operator="greaterThan">
      <formula>12</formula>
    </cfRule>
    <cfRule type="cellIs" dxfId="523" priority="4" operator="lessThan">
      <formula>3</formula>
    </cfRule>
    <cfRule type="cellIs" dxfId="522" priority="5" operator="between">
      <formula>3</formula>
      <formula>12</formula>
    </cfRule>
  </conditionalFormatting>
  <conditionalFormatting sqref="U17">
    <cfRule type="cellIs" dxfId="521" priority="6" operator="equal">
      <formula>0.15</formula>
    </cfRule>
    <cfRule type="cellIs" dxfId="520" priority="7" operator="greaterThan">
      <formula>0.15</formula>
    </cfRule>
    <cfRule type="cellIs" dxfId="519" priority="8" operator="lessThan">
      <formula>0.15</formula>
    </cfRule>
  </conditionalFormatting>
  <conditionalFormatting sqref="U25">
    <cfRule type="cellIs" dxfId="518" priority="9" operator="greaterThan">
      <formula>0.499</formula>
    </cfRule>
    <cfRule type="cellIs" dxfId="517" priority="10" operator="lessThan">
      <formula>0.5</formula>
    </cfRule>
  </conditionalFormatting>
  <conditionalFormatting sqref="U30">
    <cfRule type="cellIs" dxfId="516" priority="11" operator="greaterThan">
      <formula>0.45</formula>
    </cfRule>
    <cfRule type="cellIs" dxfId="515" priority="12" operator="between">
      <formula>0.35</formula>
      <formula>0.45</formula>
    </cfRule>
    <cfRule type="cellIs" dxfId="514" priority="13" operator="lessThan">
      <formula>0.35</formula>
    </cfRule>
  </conditionalFormatting>
  <conditionalFormatting sqref="U35">
    <cfRule type="cellIs" dxfId="513" priority="14" operator="greaterThan">
      <formula>0.2</formula>
    </cfRule>
    <cfRule type="cellIs" dxfId="512" priority="15" operator="between">
      <formula>0.15</formula>
      <formula>0.2</formula>
    </cfRule>
    <cfRule type="cellIs" dxfId="511" priority="16" operator="lessThan">
      <formula>0.15</formula>
    </cfRule>
  </conditionalFormatting>
  <conditionalFormatting sqref="U43">
    <cfRule type="cellIs" dxfId="510" priority="17" operator="lessThan">
      <formula>0.101</formula>
    </cfRule>
    <cfRule type="cellIs" dxfId="509" priority="18" operator="greaterThan">
      <formula>0.1</formula>
    </cfRule>
  </conditionalFormatting>
  <conditionalFormatting sqref="U48">
    <cfRule type="cellIs" dxfId="508" priority="19" operator="lessThan">
      <formula>0.5</formula>
    </cfRule>
    <cfRule type="cellIs" dxfId="507" priority="20" operator="greaterThan">
      <formula>0.499</formula>
    </cfRule>
  </conditionalFormatting>
  <conditionalFormatting sqref="Y8">
    <cfRule type="cellIs" dxfId="506" priority="21" operator="lessThan">
      <formula>0.501</formula>
    </cfRule>
    <cfRule type="cellIs" dxfId="505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000"/>
  <sheetViews>
    <sheetView workbookViewId="0"/>
  </sheetViews>
  <sheetFormatPr defaultColWidth="12.625" defaultRowHeight="15" customHeight="1" x14ac:dyDescent="0.2"/>
  <cols>
    <col min="1" max="1" width="8.75" customWidth="1"/>
    <col min="2" max="2" width="37.75" customWidth="1"/>
    <col min="3" max="3" width="12.375" customWidth="1"/>
    <col min="4" max="4" width="10.375" customWidth="1"/>
    <col min="5" max="5" width="33.625" customWidth="1"/>
    <col min="6" max="6" width="11.625" customWidth="1"/>
    <col min="7" max="7" width="8.75" customWidth="1"/>
    <col min="8" max="8" width="41.25" customWidth="1"/>
    <col min="9" max="9" width="13.125" customWidth="1"/>
    <col min="10" max="11" width="8.75" customWidth="1"/>
    <col min="12" max="12" width="13.25" customWidth="1"/>
    <col min="13" max="13" width="19.375" customWidth="1"/>
    <col min="14" max="14" width="8.75" customWidth="1"/>
    <col min="15" max="15" width="8.125" customWidth="1"/>
    <col min="16" max="16" width="10.75" customWidth="1"/>
    <col min="17" max="18" width="8.75" customWidth="1"/>
    <col min="19" max="19" width="5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f>'8_'!C3+'8_'!I24</f>
        <v>992036.71127529535</v>
      </c>
      <c r="E3" s="68" t="s">
        <v>10</v>
      </c>
      <c r="F3" s="6">
        <f>VLOOKUP(E3,CFP!$AA$32:$AK$37,10,FALSE)</f>
        <v>1824148.9171981679</v>
      </c>
      <c r="H3" s="1" t="s">
        <v>11</v>
      </c>
      <c r="I3" s="7">
        <f>12000+G39</f>
        <v>54458</v>
      </c>
      <c r="J3" s="6"/>
      <c r="L3" s="8">
        <f>L4-M21</f>
        <v>846398.55626422353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992036.71127529535</v>
      </c>
      <c r="E4" s="68" t="s">
        <v>15</v>
      </c>
      <c r="F4" s="6">
        <f>VLOOKUP(E4,CFP!$AA$32:$AK$37,10,FALSE)</f>
        <v>608049.63906605588</v>
      </c>
      <c r="H4" s="1" t="s">
        <v>16</v>
      </c>
      <c r="I4" s="7">
        <f>4100+G40</f>
        <v>143239</v>
      </c>
      <c r="L4" s="16">
        <f>SUM(F3:F4)</f>
        <v>2432198.5562642235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VLOOKUP(E5,CFP!$AA$32:$AK$37,10,FALSE)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992036.71127529535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VLOOKUP(E6,CFP!$AA$32:$AK$37,10,FALSE)</f>
        <v>15750</v>
      </c>
      <c r="H6" s="1" t="s">
        <v>30</v>
      </c>
      <c r="I6" s="7"/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0</v>
      </c>
      <c r="X6" s="19" t="s">
        <v>33</v>
      </c>
      <c r="Y6" s="26">
        <f>C36</f>
        <v>13365933.101935852</v>
      </c>
    </row>
    <row r="7" spans="2:25" ht="14.25" customHeight="1" x14ac:dyDescent="0.2">
      <c r="B7" s="1" t="s">
        <v>34</v>
      </c>
      <c r="C7" s="6"/>
      <c r="E7" s="1" t="s">
        <v>35</v>
      </c>
      <c r="F7" s="6"/>
      <c r="H7" s="68" t="s">
        <v>36</v>
      </c>
      <c r="I7" s="7">
        <f>F3*0.05</f>
        <v>91207.445859908403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 t="e">
        <f>U5/U6</f>
        <v>#DIV/0!</v>
      </c>
      <c r="V7" s="1" t="s">
        <v>38</v>
      </c>
      <c r="X7" s="19" t="s">
        <v>39</v>
      </c>
      <c r="Y7" s="26">
        <f>C19</f>
        <v>13365933.101935852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2663948.5562642235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1</v>
      </c>
    </row>
    <row r="9" spans="2:25" ht="14.25" customHeight="1" x14ac:dyDescent="0.2">
      <c r="B9" s="1" t="s">
        <v>50</v>
      </c>
      <c r="C9" s="6">
        <f>'8_'!C9+'8_'!I18</f>
        <v>4050000</v>
      </c>
      <c r="F9" s="6"/>
      <c r="H9" s="14" t="s">
        <v>51</v>
      </c>
      <c r="I9" s="15">
        <f>SUM(I3:I8)</f>
        <v>311404.44585990842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f>'8_'!C10+'8_'!I7*2</f>
        <v>2350496.3906605579</v>
      </c>
      <c r="F10" s="6">
        <f>F8*0.15</f>
        <v>399592.28343963349</v>
      </c>
      <c r="L10" s="34"/>
      <c r="M10" s="22" t="s">
        <v>56</v>
      </c>
      <c r="N10" s="23">
        <f>IF((L3-N6-N7-N8-N9)&gt;=250000,250000,(L3-N6-N7-N8-N9))</f>
        <v>96398.556264223531</v>
      </c>
      <c r="O10" s="24">
        <v>0.2</v>
      </c>
      <c r="P10" s="25">
        <f t="shared" si="0"/>
        <v>19279.711252844707</v>
      </c>
      <c r="S10" s="17"/>
      <c r="T10" s="2" t="s">
        <v>4</v>
      </c>
      <c r="U10" s="21">
        <f>C4</f>
        <v>992036.71127529535</v>
      </c>
    </row>
    <row r="11" spans="2:25" ht="14.25" customHeight="1" x14ac:dyDescent="0.2">
      <c r="B11" s="68" t="s">
        <v>57</v>
      </c>
      <c r="C11" s="6">
        <f>'8_'!C11</f>
        <v>173400</v>
      </c>
      <c r="H11" s="1" t="s">
        <v>58</v>
      </c>
      <c r="M11" s="22" t="s">
        <v>59</v>
      </c>
      <c r="N11" s="23">
        <f>IF((L3-N6-N7-N8-N9-N10)&gt;=1000000,1000000,(L3-N6-N7-N8-N9-N10))</f>
        <v>0</v>
      </c>
      <c r="O11" s="24">
        <v>0.25</v>
      </c>
      <c r="P11" s="25">
        <f t="shared" si="0"/>
        <v>0</v>
      </c>
      <c r="S11" s="17"/>
      <c r="T11" s="2" t="s">
        <v>60</v>
      </c>
      <c r="U11" s="21">
        <f>I22/12</f>
        <v>214640.34642606275</v>
      </c>
    </row>
    <row r="12" spans="2:25" ht="14.25" customHeight="1" x14ac:dyDescent="0.2">
      <c r="B12" s="14" t="s">
        <v>61</v>
      </c>
      <c r="C12" s="15">
        <f>SUM(C7:C11)</f>
        <v>7173896.3906605579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4.6218557125606514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84279.711252844703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84279.711252844703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1164279.7112528447</v>
      </c>
      <c r="T15" s="2" t="s">
        <v>4</v>
      </c>
      <c r="U15" s="21">
        <f>C4</f>
        <v>992036.71127529535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13365933.101935852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7.4221283595352863E-2</v>
      </c>
    </row>
    <row r="18" spans="2:22" ht="14.25" customHeight="1" x14ac:dyDescent="0.2">
      <c r="H18" s="1" t="s">
        <v>79</v>
      </c>
      <c r="I18" s="6">
        <v>1100000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13365933.101935852</v>
      </c>
      <c r="H19" s="14" t="s">
        <v>82</v>
      </c>
      <c r="I19" s="15">
        <f>SUM(I18)</f>
        <v>1100000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1416800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1585800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2575684.157112753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T23" s="49" t="s">
        <v>94</v>
      </c>
      <c r="U23" s="50">
        <f>C30</f>
        <v>0</v>
      </c>
    </row>
    <row r="24" spans="2:22" ht="14.25" customHeight="1" x14ac:dyDescent="0.2">
      <c r="B24" s="1" t="s">
        <v>95</v>
      </c>
      <c r="C24" s="6"/>
      <c r="H24" s="51" t="s">
        <v>96</v>
      </c>
      <c r="I24" s="52">
        <f>F8-I22</f>
        <v>88264.399151470512</v>
      </c>
      <c r="J24" s="53"/>
      <c r="T24" s="2" t="s">
        <v>39</v>
      </c>
      <c r="U24" s="21">
        <f>C19</f>
        <v>13365933.101935852</v>
      </c>
    </row>
    <row r="25" spans="2:22" ht="14.25" customHeight="1" x14ac:dyDescent="0.2">
      <c r="B25" s="14" t="s">
        <v>97</v>
      </c>
      <c r="C25" s="15">
        <f>SUM(C24)</f>
        <v>0</v>
      </c>
      <c r="H25" s="51" t="s">
        <v>98</v>
      </c>
      <c r="I25" s="52">
        <f>I24/12</f>
        <v>7355.3665959558757</v>
      </c>
      <c r="T25" s="28"/>
      <c r="U25" s="38">
        <f>U23/U24</f>
        <v>0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70" t="s">
        <v>102</v>
      </c>
      <c r="C27" s="6">
        <f>'8_'!C27-'8_'!I6</f>
        <v>0</v>
      </c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0</v>
      </c>
      <c r="T28" s="2" t="s">
        <v>106</v>
      </c>
      <c r="U28" s="21">
        <f>I6+C25</f>
        <v>0</v>
      </c>
    </row>
    <row r="29" spans="2:22" ht="14.25" customHeight="1" x14ac:dyDescent="0.2">
      <c r="T29" s="2" t="s">
        <v>107</v>
      </c>
      <c r="U29" s="21">
        <f>F8</f>
        <v>2663948.5562642235</v>
      </c>
    </row>
    <row r="30" spans="2:22" ht="14.25" customHeight="1" x14ac:dyDescent="0.2">
      <c r="B30" s="41" t="s">
        <v>94</v>
      </c>
      <c r="C30" s="42">
        <f>C28+C25</f>
        <v>0</v>
      </c>
      <c r="T30" s="28"/>
      <c r="U30" s="38">
        <f>U28/U29</f>
        <v>0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13365933.101935852</v>
      </c>
      <c r="T33" s="2" t="s">
        <v>115</v>
      </c>
      <c r="U33" s="21">
        <f>C24</f>
        <v>0</v>
      </c>
    </row>
    <row r="34" spans="1:22" ht="14.25" customHeight="1" x14ac:dyDescent="0.2">
      <c r="B34" s="41" t="s">
        <v>116</v>
      </c>
      <c r="C34" s="42">
        <f>C30</f>
        <v>0</v>
      </c>
      <c r="T34" s="2" t="s">
        <v>107</v>
      </c>
      <c r="U34" s="21">
        <f>F8</f>
        <v>2663948.5562642235</v>
      </c>
    </row>
    <row r="35" spans="1:22" ht="14.25" customHeight="1" x14ac:dyDescent="0.2">
      <c r="T35" s="28"/>
      <c r="U35" s="38">
        <f>U33/U34</f>
        <v>0</v>
      </c>
    </row>
    <row r="36" spans="1:22" ht="14.25" customHeight="1" x14ac:dyDescent="0.2">
      <c r="B36" s="54" t="s">
        <v>119</v>
      </c>
      <c r="C36" s="55">
        <f>C33-C34</f>
        <v>13365933.101935852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>
        <v>45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>E39+E46+E50</f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>+E40+E41+E42+E43+E44+E47+E48+E51</f>
        <v>139139</v>
      </c>
      <c r="H40" s="56"/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1191207.4458599084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2663948.5562642235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0.44715857708993934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>
        <v>44</v>
      </c>
      <c r="E45" s="61">
        <f>SUM(E39:E44)</f>
        <v>86381</v>
      </c>
      <c r="G45" s="60"/>
      <c r="H45" s="5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7173896.3906605579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13365933.101935852</v>
      </c>
    </row>
    <row r="48" spans="1:22" ht="14.25" customHeight="1" x14ac:dyDescent="0.2">
      <c r="B48" s="59" t="s">
        <v>139</v>
      </c>
      <c r="E48" s="7">
        <v>6764</v>
      </c>
      <c r="H48" s="56"/>
      <c r="T48" s="28"/>
      <c r="U48" s="38">
        <f>U46/U47</f>
        <v>0.53672993392593948</v>
      </c>
    </row>
    <row r="49" spans="1:21" ht="14.25" customHeight="1" x14ac:dyDescent="0.2">
      <c r="A49" s="1">
        <v>16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2663948.5562642235</v>
      </c>
      <c r="G54" s="32">
        <f>E54/F54</f>
        <v>6.8168358421553665E-2</v>
      </c>
      <c r="T54" s="9" t="s">
        <v>149</v>
      </c>
      <c r="U54" s="30" t="s">
        <v>150</v>
      </c>
    </row>
    <row r="55" spans="1:21" ht="14.25" customHeight="1" x14ac:dyDescent="0.2">
      <c r="G55" s="56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1279471.8450113789</v>
      </c>
    </row>
    <row r="57" spans="1:21" ht="14.25" customHeight="1" x14ac:dyDescent="0.2">
      <c r="G57" s="56"/>
      <c r="H57" s="56"/>
      <c r="T57" s="2" t="s">
        <v>138</v>
      </c>
      <c r="U57" s="21">
        <f>F8</f>
        <v>2663948.5562642235</v>
      </c>
    </row>
    <row r="58" spans="1:21" ht="14.25" customHeight="1" x14ac:dyDescent="0.2">
      <c r="B58" s="32"/>
      <c r="G58" s="56"/>
      <c r="H58" s="56"/>
      <c r="T58" s="28"/>
      <c r="U58" s="38">
        <f>U56/U57</f>
        <v>0.48029149887400246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328" priority="1" operator="lessThan">
      <formula>1.01</formula>
    </cfRule>
    <cfRule type="cellIs" dxfId="327" priority="2" operator="greaterThan">
      <formula>1</formula>
    </cfRule>
  </conditionalFormatting>
  <conditionalFormatting sqref="U12">
    <cfRule type="cellIs" dxfId="326" priority="3" operator="greaterThan">
      <formula>12</formula>
    </cfRule>
    <cfRule type="cellIs" dxfId="325" priority="4" operator="lessThan">
      <formula>3</formula>
    </cfRule>
    <cfRule type="cellIs" dxfId="324" priority="5" operator="between">
      <formula>3</formula>
      <formula>12</formula>
    </cfRule>
  </conditionalFormatting>
  <conditionalFormatting sqref="U17">
    <cfRule type="cellIs" dxfId="323" priority="6" operator="equal">
      <formula>0.15</formula>
    </cfRule>
    <cfRule type="cellIs" dxfId="322" priority="7" operator="greaterThan">
      <formula>0.15</formula>
    </cfRule>
    <cfRule type="cellIs" dxfId="321" priority="8" operator="lessThan">
      <formula>0.15</formula>
    </cfRule>
  </conditionalFormatting>
  <conditionalFormatting sqref="U25">
    <cfRule type="cellIs" dxfId="320" priority="9" operator="greaterThan">
      <formula>0.499</formula>
    </cfRule>
    <cfRule type="cellIs" dxfId="319" priority="10" operator="lessThan">
      <formula>0.5</formula>
    </cfRule>
  </conditionalFormatting>
  <conditionalFormatting sqref="U30">
    <cfRule type="cellIs" dxfId="318" priority="11" operator="greaterThan">
      <formula>0.45</formula>
    </cfRule>
    <cfRule type="cellIs" dxfId="317" priority="12" operator="between">
      <formula>0.35</formula>
      <formula>0.45</formula>
    </cfRule>
    <cfRule type="cellIs" dxfId="316" priority="13" operator="lessThan">
      <formula>0.35</formula>
    </cfRule>
  </conditionalFormatting>
  <conditionalFormatting sqref="U35">
    <cfRule type="cellIs" dxfId="315" priority="14" operator="greaterThan">
      <formula>0.2</formula>
    </cfRule>
    <cfRule type="cellIs" dxfId="314" priority="15" operator="between">
      <formula>0.15</formula>
      <formula>0.2</formula>
    </cfRule>
    <cfRule type="cellIs" dxfId="313" priority="16" operator="lessThan">
      <formula>0.15</formula>
    </cfRule>
  </conditionalFormatting>
  <conditionalFormatting sqref="U43">
    <cfRule type="cellIs" dxfId="312" priority="17" operator="lessThan">
      <formula>0.101</formula>
    </cfRule>
    <cfRule type="cellIs" dxfId="311" priority="18" operator="greaterThan">
      <formula>0.1</formula>
    </cfRule>
  </conditionalFormatting>
  <conditionalFormatting sqref="U48">
    <cfRule type="cellIs" dxfId="310" priority="19" operator="lessThan">
      <formula>0.5</formula>
    </cfRule>
    <cfRule type="cellIs" dxfId="309" priority="20" operator="greaterThan">
      <formula>0.499</formula>
    </cfRule>
  </conditionalFormatting>
  <conditionalFormatting sqref="Y8">
    <cfRule type="cellIs" dxfId="308" priority="21" operator="lessThan">
      <formula>0.501</formula>
    </cfRule>
    <cfRule type="cellIs" dxfId="307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000"/>
  <sheetViews>
    <sheetView workbookViewId="0"/>
  </sheetViews>
  <sheetFormatPr defaultColWidth="12.625" defaultRowHeight="15" customHeight="1" x14ac:dyDescent="0.2"/>
  <cols>
    <col min="1" max="1" width="8.75" customWidth="1"/>
    <col min="2" max="2" width="37.75" customWidth="1"/>
    <col min="3" max="3" width="12.375" customWidth="1"/>
    <col min="4" max="4" width="10.375" customWidth="1"/>
    <col min="5" max="5" width="33.625" customWidth="1"/>
    <col min="6" max="6" width="11.125" customWidth="1"/>
    <col min="7" max="7" width="8.75" customWidth="1"/>
    <col min="8" max="8" width="41.25" customWidth="1"/>
    <col min="9" max="9" width="13.125" customWidth="1"/>
    <col min="10" max="10" width="8.75" customWidth="1"/>
    <col min="11" max="11" width="11.375" customWidth="1"/>
    <col min="12" max="12" width="13.25" customWidth="1"/>
    <col min="13" max="13" width="19.375" customWidth="1"/>
    <col min="14" max="14" width="9.25" customWidth="1"/>
    <col min="15" max="15" width="8.125" customWidth="1"/>
    <col min="16" max="16" width="10.75" customWidth="1"/>
    <col min="17" max="19" width="8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f>'9_'!C3+'9_'!I24</f>
        <v>1080301.1104267659</v>
      </c>
      <c r="E3" s="68" t="s">
        <v>10</v>
      </c>
      <c r="F3" s="6">
        <f>VLOOKUP(E3,CFP!$AA$32:$AK$37,11,FALSE)</f>
        <v>1878873.3847141128</v>
      </c>
      <c r="H3" s="1" t="s">
        <v>11</v>
      </c>
      <c r="I3" s="7">
        <f>12000+G39</f>
        <v>54458</v>
      </c>
      <c r="J3" s="6"/>
      <c r="L3" s="8">
        <f>L4-M21</f>
        <v>819364.51295215031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1080301.1104267659</v>
      </c>
      <c r="E4" s="68" t="s">
        <v>15</v>
      </c>
      <c r="F4" s="6">
        <f>VLOOKUP(E4,CFP!$AA$32:$AK$37,11,FALSE)</f>
        <v>626291.12823803758</v>
      </c>
      <c r="H4" s="1" t="s">
        <v>16</v>
      </c>
      <c r="I4" s="7">
        <f>4100+G40</f>
        <v>143239</v>
      </c>
      <c r="L4" s="16">
        <f>SUM(F3:F4)</f>
        <v>2505164.5129521503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VLOOKUP(E5,CFP!$AA$32:$AK$37,11,FALSE)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1080301.1104267659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VLOOKUP(E6,CFP!$AA$32:$AK$37,11,FALSE)</f>
        <v>15750</v>
      </c>
      <c r="H6" s="1" t="s">
        <v>30</v>
      </c>
      <c r="I6" s="7"/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0</v>
      </c>
      <c r="X6" s="19" t="s">
        <v>33</v>
      </c>
      <c r="Y6" s="26">
        <f>C36</f>
        <v>14736612.392807141</v>
      </c>
    </row>
    <row r="7" spans="2:25" ht="14.25" customHeight="1" x14ac:dyDescent="0.2">
      <c r="B7" s="1" t="s">
        <v>34</v>
      </c>
      <c r="C7" s="6"/>
      <c r="E7" s="1" t="s">
        <v>35</v>
      </c>
      <c r="F7" s="6"/>
      <c r="H7" s="68" t="s">
        <v>36</v>
      </c>
      <c r="I7" s="7">
        <f>F3*0.05</f>
        <v>93943.669235705645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 t="e">
        <f>U5/U6</f>
        <v>#DIV/0!</v>
      </c>
      <c r="V7" s="1" t="s">
        <v>38</v>
      </c>
      <c r="X7" s="19" t="s">
        <v>39</v>
      </c>
      <c r="Y7" s="26">
        <f>C19</f>
        <v>14736612.392807141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2736914.5129521503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1</v>
      </c>
    </row>
    <row r="9" spans="2:25" ht="14.25" customHeight="1" x14ac:dyDescent="0.2">
      <c r="B9" s="1" t="s">
        <v>50</v>
      </c>
      <c r="C9" s="6">
        <f>'9_'!C9+'9_'!I18</f>
        <v>5150000</v>
      </c>
      <c r="F9" s="6"/>
      <c r="H9" s="14" t="s">
        <v>51</v>
      </c>
      <c r="I9" s="15">
        <f>SUM(I3:I8)</f>
        <v>314140.66923570563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f>'9_'!C10+'9_'!I7*2</f>
        <v>2532911.2823803746</v>
      </c>
      <c r="F10" s="6">
        <f>F8*0.15</f>
        <v>410537.17694282252</v>
      </c>
      <c r="L10" s="34"/>
      <c r="M10" s="22" t="s">
        <v>56</v>
      </c>
      <c r="N10" s="23">
        <f>IF((L3-N6-N7-N8-N9)&gt;=250000,250000,(L3-N6-N7-N8-N9))</f>
        <v>69364.512952150311</v>
      </c>
      <c r="O10" s="24">
        <v>0.2</v>
      </c>
      <c r="P10" s="25">
        <f t="shared" si="0"/>
        <v>13872.902590430063</v>
      </c>
      <c r="S10" s="17"/>
      <c r="T10" s="2" t="s">
        <v>4</v>
      </c>
      <c r="U10" s="21">
        <f>C4</f>
        <v>1080301.1104267659</v>
      </c>
    </row>
    <row r="11" spans="2:25" ht="14.25" customHeight="1" x14ac:dyDescent="0.2">
      <c r="B11" s="68" t="s">
        <v>57</v>
      </c>
      <c r="C11" s="6">
        <f>'9_'!C11</f>
        <v>173400</v>
      </c>
      <c r="H11" s="1" t="s">
        <v>58</v>
      </c>
      <c r="M11" s="22" t="s">
        <v>59</v>
      </c>
      <c r="N11" s="23">
        <f>IF((L3-N6-N7-N8-N9-N10)&gt;=1000000,1000000,(L3-N6-N7-N8-N9-N10))</f>
        <v>0</v>
      </c>
      <c r="O11" s="24">
        <v>0.25</v>
      </c>
      <c r="P11" s="25">
        <f t="shared" si="0"/>
        <v>0</v>
      </c>
      <c r="S11" s="17"/>
      <c r="T11" s="2" t="s">
        <v>60</v>
      </c>
      <c r="U11" s="21">
        <f>I22/12</f>
        <v>222751.13098551132</v>
      </c>
    </row>
    <row r="12" spans="2:25" ht="14.25" customHeight="1" x14ac:dyDescent="0.2">
      <c r="B12" s="14" t="s">
        <v>61</v>
      </c>
      <c r="C12" s="15">
        <f>SUM(C7:C11)</f>
        <v>8456311.2823803741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4.8498120105932623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78872.902590430065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78872.902590430065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1158872.9025904301</v>
      </c>
      <c r="T15" s="2" t="s">
        <v>4</v>
      </c>
      <c r="U15" s="21">
        <f>C4</f>
        <v>1080301.1104267659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14736612.392807141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7.3307289465932818E-2</v>
      </c>
    </row>
    <row r="18" spans="2:22" ht="14.25" customHeight="1" x14ac:dyDescent="0.2">
      <c r="H18" s="1" t="s">
        <v>79</v>
      </c>
      <c r="I18" s="6">
        <v>1200000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14736612.392807141</v>
      </c>
      <c r="H19" s="14" t="s">
        <v>82</v>
      </c>
      <c r="I19" s="15">
        <f>SUM(I18)</f>
        <v>1200000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1516800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1685800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2673013.5718261357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T23" s="49" t="s">
        <v>94</v>
      </c>
      <c r="U23" s="50">
        <f>C30</f>
        <v>0</v>
      </c>
    </row>
    <row r="24" spans="2:22" ht="14.25" customHeight="1" x14ac:dyDescent="0.2">
      <c r="B24" s="1" t="s">
        <v>95</v>
      </c>
      <c r="C24" s="6"/>
      <c r="H24" s="51" t="s">
        <v>96</v>
      </c>
      <c r="I24" s="52">
        <f>F8-I22</f>
        <v>63900.941126014572</v>
      </c>
      <c r="J24" s="53"/>
      <c r="T24" s="2" t="s">
        <v>39</v>
      </c>
      <c r="U24" s="21">
        <f>C19</f>
        <v>14736612.392807141</v>
      </c>
    </row>
    <row r="25" spans="2:22" ht="14.25" customHeight="1" x14ac:dyDescent="0.2">
      <c r="B25" s="14" t="s">
        <v>97</v>
      </c>
      <c r="C25" s="15">
        <f>SUM(C24)</f>
        <v>0</v>
      </c>
      <c r="H25" s="51" t="s">
        <v>98</v>
      </c>
      <c r="I25" s="52">
        <f>I24/12</f>
        <v>5325.0784271678813</v>
      </c>
      <c r="T25" s="28"/>
      <c r="U25" s="38">
        <f>U23/U24</f>
        <v>0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1" t="s">
        <v>102</v>
      </c>
      <c r="C27" s="6"/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0</v>
      </c>
      <c r="T28" s="2" t="s">
        <v>106</v>
      </c>
      <c r="U28" s="21">
        <f>I6+C25</f>
        <v>0</v>
      </c>
    </row>
    <row r="29" spans="2:22" ht="14.25" customHeight="1" x14ac:dyDescent="0.2">
      <c r="T29" s="2" t="s">
        <v>107</v>
      </c>
      <c r="U29" s="21">
        <f>F8</f>
        <v>2736914.5129521503</v>
      </c>
    </row>
    <row r="30" spans="2:22" ht="14.25" customHeight="1" x14ac:dyDescent="0.2">
      <c r="B30" s="41" t="s">
        <v>94</v>
      </c>
      <c r="C30" s="42">
        <f>C28+C25</f>
        <v>0</v>
      </c>
      <c r="T30" s="28"/>
      <c r="U30" s="38">
        <f>U28/U29</f>
        <v>0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14736612.392807141</v>
      </c>
      <c r="K33" s="11"/>
      <c r="T33" s="2" t="s">
        <v>115</v>
      </c>
      <c r="U33" s="21">
        <f>C24</f>
        <v>0</v>
      </c>
    </row>
    <row r="34" spans="1:22" ht="14.25" customHeight="1" x14ac:dyDescent="0.2">
      <c r="B34" s="41" t="s">
        <v>116</v>
      </c>
      <c r="C34" s="42">
        <f>C30</f>
        <v>0</v>
      </c>
      <c r="K34" s="11"/>
      <c r="T34" s="2" t="s">
        <v>107</v>
      </c>
      <c r="U34" s="21">
        <f>F8</f>
        <v>2736914.5129521503</v>
      </c>
    </row>
    <row r="35" spans="1:22" ht="14.25" customHeight="1" x14ac:dyDescent="0.2">
      <c r="T35" s="28"/>
      <c r="U35" s="38">
        <f>U33/U34</f>
        <v>0</v>
      </c>
    </row>
    <row r="36" spans="1:22" ht="14.25" customHeight="1" x14ac:dyDescent="0.2">
      <c r="B36" s="54" t="s">
        <v>119</v>
      </c>
      <c r="C36" s="55">
        <f>C33-C34</f>
        <v>14736612.392807141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>
        <v>45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>E39+E46+E50</f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>+E40+E41+E42+E43+E44+E47+E48+E51</f>
        <v>139139</v>
      </c>
      <c r="H40" s="56"/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1293943.6692357056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2736914.5129521503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0.47277460187823112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>
        <v>44</v>
      </c>
      <c r="E45" s="61">
        <f>SUM(E39:E44)</f>
        <v>86381</v>
      </c>
      <c r="G45" s="60"/>
      <c r="H45" s="5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8456311.2823803741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14736612.392807141</v>
      </c>
    </row>
    <row r="48" spans="1:22" ht="14.25" customHeight="1" x14ac:dyDescent="0.2">
      <c r="B48" s="59" t="s">
        <v>139</v>
      </c>
      <c r="E48" s="7">
        <v>6764</v>
      </c>
      <c r="H48" s="56" t="s">
        <v>157</v>
      </c>
      <c r="T48" s="28"/>
      <c r="U48" s="38">
        <f>U46/U47</f>
        <v>0.57383006738426889</v>
      </c>
    </row>
    <row r="49" spans="1:21" ht="14.25" customHeight="1" x14ac:dyDescent="0.2">
      <c r="A49" s="1">
        <v>16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2736914.5129521503</v>
      </c>
      <c r="G54" s="32">
        <f>E54/F54</f>
        <v>6.6350994574588262E-2</v>
      </c>
      <c r="T54" s="9" t="s">
        <v>149</v>
      </c>
      <c r="U54" s="30" t="s">
        <v>150</v>
      </c>
    </row>
    <row r="55" spans="1:21" ht="14.25" customHeight="1" x14ac:dyDescent="0.2">
      <c r="G55" s="56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1357844.6103617202</v>
      </c>
    </row>
    <row r="57" spans="1:21" ht="14.25" customHeight="1" x14ac:dyDescent="0.2">
      <c r="G57" s="56"/>
      <c r="H57" s="56"/>
      <c r="T57" s="2" t="s">
        <v>138</v>
      </c>
      <c r="U57" s="21">
        <f>F8</f>
        <v>2736914.5129521503</v>
      </c>
    </row>
    <row r="58" spans="1:21" ht="14.25" customHeight="1" x14ac:dyDescent="0.2">
      <c r="B58" s="32"/>
      <c r="G58" s="56"/>
      <c r="H58" s="56"/>
      <c r="T58" s="28"/>
      <c r="U58" s="38">
        <f>U56/U57</f>
        <v>0.49612240496948962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306" priority="1" operator="lessThan">
      <formula>1.01</formula>
    </cfRule>
    <cfRule type="cellIs" dxfId="305" priority="2" operator="greaterThan">
      <formula>1</formula>
    </cfRule>
  </conditionalFormatting>
  <conditionalFormatting sqref="U12">
    <cfRule type="cellIs" dxfId="304" priority="3" operator="greaterThan">
      <formula>12</formula>
    </cfRule>
    <cfRule type="cellIs" dxfId="303" priority="4" operator="lessThan">
      <formula>3</formula>
    </cfRule>
    <cfRule type="cellIs" dxfId="302" priority="5" operator="between">
      <formula>3</formula>
      <formula>12</formula>
    </cfRule>
  </conditionalFormatting>
  <conditionalFormatting sqref="U17">
    <cfRule type="cellIs" dxfId="301" priority="6" operator="equal">
      <formula>0.15</formula>
    </cfRule>
    <cfRule type="cellIs" dxfId="300" priority="7" operator="greaterThan">
      <formula>0.15</formula>
    </cfRule>
    <cfRule type="cellIs" dxfId="299" priority="8" operator="lessThan">
      <formula>0.15</formula>
    </cfRule>
  </conditionalFormatting>
  <conditionalFormatting sqref="U25">
    <cfRule type="cellIs" dxfId="298" priority="9" operator="greaterThan">
      <formula>0.499</formula>
    </cfRule>
    <cfRule type="cellIs" dxfId="297" priority="10" operator="lessThan">
      <formula>0.5</formula>
    </cfRule>
  </conditionalFormatting>
  <conditionalFormatting sqref="U30">
    <cfRule type="cellIs" dxfId="296" priority="11" operator="greaterThan">
      <formula>0.45</formula>
    </cfRule>
    <cfRule type="cellIs" dxfId="295" priority="12" operator="between">
      <formula>0.35</formula>
      <formula>0.45</formula>
    </cfRule>
    <cfRule type="cellIs" dxfId="294" priority="13" operator="lessThan">
      <formula>0.35</formula>
    </cfRule>
  </conditionalFormatting>
  <conditionalFormatting sqref="U35">
    <cfRule type="cellIs" dxfId="293" priority="14" operator="greaterThan">
      <formula>0.2</formula>
    </cfRule>
    <cfRule type="cellIs" dxfId="292" priority="15" operator="between">
      <formula>0.15</formula>
      <formula>0.2</formula>
    </cfRule>
    <cfRule type="cellIs" dxfId="291" priority="16" operator="lessThan">
      <formula>0.15</formula>
    </cfRule>
  </conditionalFormatting>
  <conditionalFormatting sqref="U43">
    <cfRule type="cellIs" dxfId="290" priority="17" operator="lessThan">
      <formula>0.101</formula>
    </cfRule>
    <cfRule type="cellIs" dxfId="289" priority="18" operator="greaterThan">
      <formula>0.1</formula>
    </cfRule>
  </conditionalFormatting>
  <conditionalFormatting sqref="U48">
    <cfRule type="cellIs" dxfId="288" priority="19" operator="lessThan">
      <formula>0.5</formula>
    </cfRule>
    <cfRule type="cellIs" dxfId="287" priority="20" operator="greaterThan">
      <formula>0.499</formula>
    </cfRule>
  </conditionalFormatting>
  <conditionalFormatting sqref="Y8">
    <cfRule type="cellIs" dxfId="286" priority="21" operator="lessThan">
      <formula>0.501</formula>
    </cfRule>
    <cfRule type="cellIs" dxfId="285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000"/>
  <sheetViews>
    <sheetView workbookViewId="0"/>
  </sheetViews>
  <sheetFormatPr defaultColWidth="12.625" defaultRowHeight="15" customHeight="1" x14ac:dyDescent="0.2"/>
  <cols>
    <col min="1" max="1" width="10.625" customWidth="1"/>
    <col min="2" max="2" width="28.375" customWidth="1"/>
    <col min="3" max="3" width="23.375" customWidth="1"/>
    <col min="4" max="4" width="17.75" customWidth="1"/>
    <col min="5" max="5" width="26.25" customWidth="1"/>
    <col min="6" max="6" width="22.125" customWidth="1"/>
    <col min="7" max="7" width="14.75" customWidth="1"/>
    <col min="8" max="8" width="18.375" customWidth="1"/>
    <col min="9" max="9" width="18.125" customWidth="1"/>
    <col min="10" max="10" width="11.625" customWidth="1"/>
    <col min="11" max="15" width="8.75" customWidth="1"/>
    <col min="16" max="16" width="10.25" customWidth="1"/>
    <col min="17" max="26" width="14.375" customWidth="1"/>
  </cols>
  <sheetData>
    <row r="1" spans="3:14" ht="22.5" customHeight="1" x14ac:dyDescent="0.2">
      <c r="E1" s="39">
        <v>0.01</v>
      </c>
      <c r="F1" s="1">
        <v>0.01</v>
      </c>
    </row>
    <row r="2" spans="3:14" ht="28.5" customHeight="1" x14ac:dyDescent="0.2">
      <c r="C2" s="71" t="s">
        <v>161</v>
      </c>
      <c r="D2" s="71" t="s">
        <v>162</v>
      </c>
      <c r="E2" s="71" t="s">
        <v>163</v>
      </c>
      <c r="F2" s="71" t="s">
        <v>164</v>
      </c>
      <c r="G2" s="71" t="s">
        <v>165</v>
      </c>
    </row>
    <row r="3" spans="3:14" ht="20.25" customHeight="1" x14ac:dyDescent="0.2">
      <c r="C3" s="71">
        <v>1</v>
      </c>
      <c r="D3" s="71">
        <v>1.4999999999999999E-2</v>
      </c>
      <c r="E3" s="23">
        <f t="shared" ref="E3:E17" si="0">$D$21*D3</f>
        <v>5760</v>
      </c>
      <c r="F3" s="61">
        <v>0</v>
      </c>
      <c r="G3" s="61">
        <f t="shared" ref="G3:G17" si="1">E3+F3</f>
        <v>5760</v>
      </c>
      <c r="I3" s="7">
        <f>D21-E3</f>
        <v>378240</v>
      </c>
      <c r="K3" s="72">
        <f>N10</f>
        <v>384000</v>
      </c>
    </row>
    <row r="4" spans="3:14" ht="20.25" customHeight="1" x14ac:dyDescent="0.2">
      <c r="C4" s="71">
        <v>2</v>
      </c>
      <c r="D4" s="71">
        <v>2.5000000000000001E-2</v>
      </c>
      <c r="E4" s="23">
        <f t="shared" si="0"/>
        <v>9600</v>
      </c>
      <c r="F4" s="61">
        <f t="shared" ref="F4:F17" si="2">I3*$F$1</f>
        <v>3782.4</v>
      </c>
      <c r="G4" s="61">
        <f t="shared" si="1"/>
        <v>13382.4</v>
      </c>
      <c r="I4" s="7">
        <f t="shared" ref="I4:I17" si="3">I3-E4</f>
        <v>368640</v>
      </c>
    </row>
    <row r="5" spans="3:14" ht="20.25" customHeight="1" x14ac:dyDescent="0.2">
      <c r="C5" s="71">
        <v>3</v>
      </c>
      <c r="D5" s="71">
        <v>0.03</v>
      </c>
      <c r="E5" s="23">
        <f t="shared" si="0"/>
        <v>11520</v>
      </c>
      <c r="F5" s="61">
        <f t="shared" si="2"/>
        <v>3686.4</v>
      </c>
      <c r="G5" s="61">
        <f t="shared" si="1"/>
        <v>15206.4</v>
      </c>
      <c r="I5" s="7">
        <f t="shared" si="3"/>
        <v>357120</v>
      </c>
      <c r="L5" s="1">
        <v>60000</v>
      </c>
      <c r="M5" s="1">
        <v>36000</v>
      </c>
      <c r="N5" s="1">
        <f t="shared" ref="N5:N8" si="4">L5+M5</f>
        <v>96000</v>
      </c>
    </row>
    <row r="6" spans="3:14" ht="20.25" customHeight="1" x14ac:dyDescent="0.2">
      <c r="C6" s="71">
        <v>4</v>
      </c>
      <c r="D6" s="71">
        <v>3.5000000000000003E-2</v>
      </c>
      <c r="E6" s="23">
        <f t="shared" si="0"/>
        <v>13440.000000000002</v>
      </c>
      <c r="F6" s="61">
        <f t="shared" si="2"/>
        <v>3571.2000000000003</v>
      </c>
      <c r="G6" s="61">
        <f t="shared" si="1"/>
        <v>17011.2</v>
      </c>
      <c r="I6" s="7">
        <f t="shared" si="3"/>
        <v>343680</v>
      </c>
      <c r="L6" s="1">
        <v>60000</v>
      </c>
      <c r="M6" s="1">
        <v>36000</v>
      </c>
      <c r="N6" s="1">
        <f t="shared" si="4"/>
        <v>96000</v>
      </c>
    </row>
    <row r="7" spans="3:14" ht="20.25" customHeight="1" x14ac:dyDescent="0.2">
      <c r="C7" s="71">
        <v>5</v>
      </c>
      <c r="D7" s="71">
        <v>0.04</v>
      </c>
      <c r="E7" s="23">
        <f t="shared" si="0"/>
        <v>15360</v>
      </c>
      <c r="F7" s="61">
        <f t="shared" si="2"/>
        <v>3436.8</v>
      </c>
      <c r="G7" s="61">
        <f t="shared" si="1"/>
        <v>18796.8</v>
      </c>
      <c r="I7" s="7">
        <f t="shared" si="3"/>
        <v>328320</v>
      </c>
      <c r="L7" s="1">
        <v>60000</v>
      </c>
      <c r="M7" s="1">
        <v>36000</v>
      </c>
      <c r="N7" s="1">
        <f t="shared" si="4"/>
        <v>96000</v>
      </c>
    </row>
    <row r="8" spans="3:14" ht="20.25" customHeight="1" x14ac:dyDescent="0.2">
      <c r="C8" s="71">
        <v>6</v>
      </c>
      <c r="D8" s="71">
        <v>4.4999999999999998E-2</v>
      </c>
      <c r="E8" s="23">
        <f t="shared" si="0"/>
        <v>17280</v>
      </c>
      <c r="F8" s="61">
        <f t="shared" si="2"/>
        <v>3283.2000000000003</v>
      </c>
      <c r="G8" s="61">
        <f t="shared" si="1"/>
        <v>20563.2</v>
      </c>
      <c r="I8" s="7">
        <f t="shared" si="3"/>
        <v>311040</v>
      </c>
      <c r="L8" s="1">
        <v>60000</v>
      </c>
      <c r="M8" s="1">
        <v>36000</v>
      </c>
      <c r="N8" s="1">
        <f t="shared" si="4"/>
        <v>96000</v>
      </c>
    </row>
    <row r="9" spans="3:14" ht="20.25" customHeight="1" x14ac:dyDescent="0.2">
      <c r="C9" s="71">
        <v>7</v>
      </c>
      <c r="D9" s="71">
        <v>0.05</v>
      </c>
      <c r="E9" s="23">
        <f t="shared" si="0"/>
        <v>19200</v>
      </c>
      <c r="F9" s="61">
        <f t="shared" si="2"/>
        <v>3110.4</v>
      </c>
      <c r="G9" s="61">
        <f t="shared" si="1"/>
        <v>22310.400000000001</v>
      </c>
      <c r="I9" s="7">
        <f t="shared" si="3"/>
        <v>291840</v>
      </c>
    </row>
    <row r="10" spans="3:14" ht="20.25" customHeight="1" x14ac:dyDescent="0.2">
      <c r="C10" s="71">
        <v>8</v>
      </c>
      <c r="D10" s="71">
        <v>0.06</v>
      </c>
      <c r="E10" s="23">
        <f t="shared" si="0"/>
        <v>23040</v>
      </c>
      <c r="F10" s="61">
        <f t="shared" si="2"/>
        <v>2918.4</v>
      </c>
      <c r="G10" s="61">
        <f t="shared" si="1"/>
        <v>25958.400000000001</v>
      </c>
      <c r="I10" s="7">
        <f t="shared" si="3"/>
        <v>268800</v>
      </c>
      <c r="N10" s="1">
        <f>SUM(N5:N8)</f>
        <v>384000</v>
      </c>
    </row>
    <row r="11" spans="3:14" ht="20.25" customHeight="1" x14ac:dyDescent="0.2">
      <c r="C11" s="71">
        <v>9</v>
      </c>
      <c r="D11" s="71">
        <v>7.0000000000000007E-2</v>
      </c>
      <c r="E11" s="23">
        <f t="shared" si="0"/>
        <v>26880.000000000004</v>
      </c>
      <c r="F11" s="61">
        <f t="shared" si="2"/>
        <v>2688</v>
      </c>
      <c r="G11" s="61">
        <f t="shared" si="1"/>
        <v>29568.000000000004</v>
      </c>
      <c r="I11" s="7">
        <f t="shared" si="3"/>
        <v>241920</v>
      </c>
    </row>
    <row r="12" spans="3:14" ht="20.25" customHeight="1" x14ac:dyDescent="0.2">
      <c r="C12" s="71">
        <v>10</v>
      </c>
      <c r="D12" s="71">
        <v>0.08</v>
      </c>
      <c r="E12" s="23">
        <f t="shared" si="0"/>
        <v>30720</v>
      </c>
      <c r="F12" s="61">
        <f t="shared" si="2"/>
        <v>2419.2000000000003</v>
      </c>
      <c r="G12" s="61">
        <f t="shared" si="1"/>
        <v>33139.199999999997</v>
      </c>
      <c r="I12" s="7">
        <f t="shared" si="3"/>
        <v>211200</v>
      </c>
    </row>
    <row r="13" spans="3:14" ht="20.25" customHeight="1" x14ac:dyDescent="0.2">
      <c r="C13" s="71">
        <v>11</v>
      </c>
      <c r="D13" s="71">
        <v>0.09</v>
      </c>
      <c r="E13" s="23">
        <f t="shared" si="0"/>
        <v>34560</v>
      </c>
      <c r="F13" s="61">
        <f t="shared" si="2"/>
        <v>2112</v>
      </c>
      <c r="G13" s="61">
        <f t="shared" si="1"/>
        <v>36672</v>
      </c>
      <c r="I13" s="7">
        <f t="shared" si="3"/>
        <v>176640</v>
      </c>
    </row>
    <row r="14" spans="3:14" ht="20.25" customHeight="1" x14ac:dyDescent="0.2">
      <c r="C14" s="71">
        <v>12</v>
      </c>
      <c r="D14" s="71">
        <v>0.1</v>
      </c>
      <c r="E14" s="23">
        <f t="shared" si="0"/>
        <v>38400</v>
      </c>
      <c r="F14" s="61">
        <f t="shared" si="2"/>
        <v>1766.4</v>
      </c>
      <c r="G14" s="61">
        <f t="shared" si="1"/>
        <v>40166.400000000001</v>
      </c>
      <c r="I14" s="7">
        <f t="shared" si="3"/>
        <v>138240</v>
      </c>
    </row>
    <row r="15" spans="3:14" ht="20.25" customHeight="1" x14ac:dyDescent="0.2">
      <c r="C15" s="71">
        <v>13</v>
      </c>
      <c r="D15" s="71">
        <v>0.11</v>
      </c>
      <c r="E15" s="23">
        <f t="shared" si="0"/>
        <v>42240</v>
      </c>
      <c r="F15" s="61">
        <f t="shared" si="2"/>
        <v>1382.4</v>
      </c>
      <c r="G15" s="61">
        <f t="shared" si="1"/>
        <v>43622.400000000001</v>
      </c>
      <c r="I15" s="7">
        <f t="shared" si="3"/>
        <v>96000</v>
      </c>
    </row>
    <row r="16" spans="3:14" ht="20.25" customHeight="1" x14ac:dyDescent="0.2">
      <c r="C16" s="71">
        <v>14</v>
      </c>
      <c r="D16" s="71">
        <v>0.12</v>
      </c>
      <c r="E16" s="23">
        <f t="shared" si="0"/>
        <v>46080</v>
      </c>
      <c r="F16" s="61">
        <f t="shared" si="2"/>
        <v>960</v>
      </c>
      <c r="G16" s="61">
        <f t="shared" si="1"/>
        <v>47040</v>
      </c>
      <c r="I16" s="7">
        <f t="shared" si="3"/>
        <v>49920</v>
      </c>
    </row>
    <row r="17" spans="2:13" ht="20.25" customHeight="1" x14ac:dyDescent="0.2">
      <c r="C17" s="71">
        <v>15</v>
      </c>
      <c r="D17" s="71">
        <v>0.13</v>
      </c>
      <c r="E17" s="23">
        <f t="shared" si="0"/>
        <v>49920</v>
      </c>
      <c r="F17" s="61">
        <f t="shared" si="2"/>
        <v>499.2</v>
      </c>
      <c r="G17" s="61">
        <f t="shared" si="1"/>
        <v>50419.199999999997</v>
      </c>
      <c r="I17" s="7">
        <f t="shared" si="3"/>
        <v>0</v>
      </c>
    </row>
    <row r="18" spans="2:13" ht="27" customHeight="1" x14ac:dyDescent="0.2">
      <c r="C18" s="20" t="s">
        <v>166</v>
      </c>
      <c r="D18" s="73">
        <v>1</v>
      </c>
      <c r="E18" s="74">
        <f t="shared" ref="E18:G18" si="5">SUM(E3:E17)</f>
        <v>384000</v>
      </c>
      <c r="F18" s="74">
        <f t="shared" si="5"/>
        <v>35616</v>
      </c>
      <c r="G18" s="74">
        <f t="shared" si="5"/>
        <v>419616.00000000006</v>
      </c>
    </row>
    <row r="19" spans="2:13" ht="14.25" customHeight="1" x14ac:dyDescent="0.2"/>
    <row r="20" spans="2:13" ht="14.25" customHeight="1" x14ac:dyDescent="0.2"/>
    <row r="21" spans="2:13" ht="14.25" customHeight="1" x14ac:dyDescent="0.2">
      <c r="D21" s="75">
        <f>K3</f>
        <v>384000</v>
      </c>
      <c r="L21" s="1">
        <v>2100</v>
      </c>
    </row>
    <row r="22" spans="2:13" ht="14.25" customHeight="1" x14ac:dyDescent="0.2"/>
    <row r="23" spans="2:13" ht="14.25" customHeight="1" x14ac:dyDescent="0.2">
      <c r="G23" s="1">
        <f>G25+G26</f>
        <v>10300</v>
      </c>
      <c r="L23" s="1">
        <f>L21</f>
        <v>2100</v>
      </c>
    </row>
    <row r="24" spans="2:13" ht="14.25" customHeight="1" x14ac:dyDescent="0.2">
      <c r="L24" s="1">
        <f>L21</f>
        <v>2100</v>
      </c>
    </row>
    <row r="25" spans="2:13" ht="14.25" customHeight="1" x14ac:dyDescent="0.2">
      <c r="G25" s="1">
        <f>SUM(L23:L25)</f>
        <v>6300</v>
      </c>
      <c r="I25" s="76" t="s">
        <v>167</v>
      </c>
      <c r="J25" s="1">
        <v>1.05</v>
      </c>
      <c r="L25" s="1">
        <f>L21</f>
        <v>2100</v>
      </c>
    </row>
    <row r="26" spans="2:13" ht="14.25" customHeight="1" x14ac:dyDescent="0.2">
      <c r="G26" s="1">
        <v>4000</v>
      </c>
      <c r="I26" s="1" t="s">
        <v>168</v>
      </c>
      <c r="J26" s="1">
        <v>1.1000000000000001</v>
      </c>
    </row>
    <row r="27" spans="2:13" ht="14.25" customHeight="1" x14ac:dyDescent="0.2">
      <c r="I27" s="1" t="s">
        <v>169</v>
      </c>
      <c r="J27" s="1">
        <v>1.2</v>
      </c>
    </row>
    <row r="28" spans="2:13" ht="14.25" customHeight="1" x14ac:dyDescent="0.2">
      <c r="E28" s="1">
        <v>1.05</v>
      </c>
      <c r="F28" s="1">
        <v>12</v>
      </c>
      <c r="I28" s="1" t="s">
        <v>170</v>
      </c>
      <c r="J28" s="1">
        <v>1.4</v>
      </c>
    </row>
    <row r="29" spans="2:13" ht="14.25" customHeight="1" x14ac:dyDescent="0.2"/>
    <row r="30" spans="2:13" ht="14.25" customHeight="1" x14ac:dyDescent="0.2">
      <c r="D30" s="71" t="s">
        <v>171</v>
      </c>
      <c r="E30" s="71" t="s">
        <v>172</v>
      </c>
      <c r="F30" s="71" t="s">
        <v>1</v>
      </c>
      <c r="G30" s="71" t="s">
        <v>173</v>
      </c>
      <c r="H30" s="71" t="s">
        <v>174</v>
      </c>
      <c r="I30" s="71" t="s">
        <v>175</v>
      </c>
    </row>
    <row r="31" spans="2:13" ht="19.5" customHeight="1" x14ac:dyDescent="0.2">
      <c r="B31" s="27">
        <v>1</v>
      </c>
      <c r="D31" s="71">
        <v>1</v>
      </c>
      <c r="E31" s="61">
        <f>M31</f>
        <v>31000</v>
      </c>
      <c r="F31" s="61">
        <f t="shared" ref="F31:F45" si="6">E31*$F$28</f>
        <v>372000</v>
      </c>
      <c r="G31" s="61">
        <f>$G$23*$F$28</f>
        <v>123600</v>
      </c>
      <c r="H31" s="61">
        <f t="shared" ref="H31:H45" si="7">F31+G31</f>
        <v>495600</v>
      </c>
      <c r="I31" s="61">
        <f t="shared" ref="I31:I45" si="8">H31/$F$28</f>
        <v>41300</v>
      </c>
      <c r="L31" s="1" t="s">
        <v>176</v>
      </c>
      <c r="M31" s="1">
        <v>31000</v>
      </c>
    </row>
    <row r="32" spans="2:13" ht="19.5" customHeight="1" x14ac:dyDescent="0.2">
      <c r="B32" s="27">
        <v>2</v>
      </c>
      <c r="D32" s="71">
        <v>2</v>
      </c>
      <c r="E32" s="61">
        <f t="shared" ref="E32:E45" si="9">E31*$E$28</f>
        <v>32550</v>
      </c>
      <c r="F32" s="61">
        <f t="shared" si="6"/>
        <v>390600</v>
      </c>
      <c r="G32" s="61">
        <f t="shared" ref="G32:G33" si="10">G31*$J$25</f>
        <v>129780</v>
      </c>
      <c r="H32" s="61">
        <f t="shared" si="7"/>
        <v>520380</v>
      </c>
      <c r="I32" s="61">
        <f t="shared" si="8"/>
        <v>43365</v>
      </c>
    </row>
    <row r="33" spans="2:9" ht="19.5" customHeight="1" x14ac:dyDescent="0.2">
      <c r="B33" s="27">
        <v>3</v>
      </c>
      <c r="D33" s="71">
        <v>3</v>
      </c>
      <c r="E33" s="61">
        <f t="shared" si="9"/>
        <v>34177.5</v>
      </c>
      <c r="F33" s="61">
        <f t="shared" si="6"/>
        <v>410130</v>
      </c>
      <c r="G33" s="61">
        <f t="shared" si="10"/>
        <v>136269</v>
      </c>
      <c r="H33" s="61">
        <f t="shared" si="7"/>
        <v>546399</v>
      </c>
      <c r="I33" s="61">
        <f t="shared" si="8"/>
        <v>45533.25</v>
      </c>
    </row>
    <row r="34" spans="2:9" ht="19.5" customHeight="1" x14ac:dyDescent="0.2">
      <c r="B34" s="27">
        <v>4</v>
      </c>
      <c r="D34" s="71">
        <v>4</v>
      </c>
      <c r="E34" s="61">
        <f t="shared" si="9"/>
        <v>35886.375</v>
      </c>
      <c r="F34" s="61">
        <f t="shared" si="6"/>
        <v>430636.5</v>
      </c>
      <c r="G34" s="61">
        <f t="shared" ref="G34:G36" si="11">G33*$J$26</f>
        <v>149895.90000000002</v>
      </c>
      <c r="H34" s="61">
        <f t="shared" si="7"/>
        <v>580532.4</v>
      </c>
      <c r="I34" s="61">
        <f t="shared" si="8"/>
        <v>48377.700000000004</v>
      </c>
    </row>
    <row r="35" spans="2:9" ht="19.5" customHeight="1" x14ac:dyDescent="0.2">
      <c r="B35" s="27">
        <v>5</v>
      </c>
      <c r="D35" s="71">
        <v>5</v>
      </c>
      <c r="E35" s="61">
        <f t="shared" si="9"/>
        <v>37680.693749999999</v>
      </c>
      <c r="F35" s="61">
        <f t="shared" si="6"/>
        <v>452168.32499999995</v>
      </c>
      <c r="G35" s="61">
        <f t="shared" si="11"/>
        <v>164885.49000000005</v>
      </c>
      <c r="H35" s="61">
        <f t="shared" si="7"/>
        <v>617053.81499999994</v>
      </c>
      <c r="I35" s="61">
        <f t="shared" si="8"/>
        <v>51421.151249999995</v>
      </c>
    </row>
    <row r="36" spans="2:9" ht="19.5" customHeight="1" x14ac:dyDescent="0.2">
      <c r="B36" s="27">
        <v>6</v>
      </c>
      <c r="D36" s="71">
        <v>6</v>
      </c>
      <c r="E36" s="61">
        <f t="shared" si="9"/>
        <v>39564.728437500002</v>
      </c>
      <c r="F36" s="61">
        <f t="shared" si="6"/>
        <v>474776.74125000002</v>
      </c>
      <c r="G36" s="61">
        <f t="shared" si="11"/>
        <v>181374.03900000008</v>
      </c>
      <c r="H36" s="61">
        <f t="shared" si="7"/>
        <v>656150.78025000007</v>
      </c>
      <c r="I36" s="61">
        <f t="shared" si="8"/>
        <v>54679.231687500003</v>
      </c>
    </row>
    <row r="37" spans="2:9" ht="19.5" customHeight="1" x14ac:dyDescent="0.2">
      <c r="B37" s="27">
        <v>7</v>
      </c>
      <c r="D37" s="71">
        <v>7</v>
      </c>
      <c r="E37" s="61">
        <f t="shared" si="9"/>
        <v>41542.964859375003</v>
      </c>
      <c r="F37" s="61">
        <f t="shared" si="6"/>
        <v>498515.57831250003</v>
      </c>
      <c r="G37" s="61">
        <f t="shared" ref="G37:G40" si="12">G36*$J$27</f>
        <v>217648.84680000009</v>
      </c>
      <c r="H37" s="61">
        <f t="shared" si="7"/>
        <v>716164.42511250009</v>
      </c>
      <c r="I37" s="61">
        <f t="shared" si="8"/>
        <v>59680.368759375007</v>
      </c>
    </row>
    <row r="38" spans="2:9" ht="19.5" customHeight="1" x14ac:dyDescent="0.2">
      <c r="B38" s="27">
        <v>8</v>
      </c>
      <c r="D38" s="71">
        <v>8</v>
      </c>
      <c r="E38" s="61">
        <f t="shared" si="9"/>
        <v>43620.113102343756</v>
      </c>
      <c r="F38" s="61">
        <f t="shared" si="6"/>
        <v>523441.3572281251</v>
      </c>
      <c r="G38" s="61">
        <f t="shared" si="12"/>
        <v>261178.61616000009</v>
      </c>
      <c r="H38" s="61">
        <f t="shared" si="7"/>
        <v>784619.97338812519</v>
      </c>
      <c r="I38" s="61">
        <f t="shared" si="8"/>
        <v>65384.997782343766</v>
      </c>
    </row>
    <row r="39" spans="2:9" ht="19.5" customHeight="1" x14ac:dyDescent="0.2">
      <c r="B39" s="27">
        <v>9</v>
      </c>
      <c r="D39" s="71">
        <v>9</v>
      </c>
      <c r="E39" s="61">
        <f t="shared" si="9"/>
        <v>45801.118757460943</v>
      </c>
      <c r="F39" s="61">
        <f t="shared" si="6"/>
        <v>549613.42508953135</v>
      </c>
      <c r="G39" s="61">
        <f t="shared" si="12"/>
        <v>313414.33939200011</v>
      </c>
      <c r="H39" s="61">
        <f t="shared" si="7"/>
        <v>863027.76448153146</v>
      </c>
      <c r="I39" s="61">
        <f t="shared" si="8"/>
        <v>71918.98037346096</v>
      </c>
    </row>
    <row r="40" spans="2:9" ht="19.5" customHeight="1" x14ac:dyDescent="0.2">
      <c r="B40" s="27">
        <v>10</v>
      </c>
      <c r="D40" s="71">
        <v>10</v>
      </c>
      <c r="E40" s="61">
        <f t="shared" si="9"/>
        <v>48091.17469533399</v>
      </c>
      <c r="F40" s="61">
        <f t="shared" si="6"/>
        <v>577094.09634400788</v>
      </c>
      <c r="G40" s="61">
        <f t="shared" si="12"/>
        <v>376097.20727040013</v>
      </c>
      <c r="H40" s="61">
        <f t="shared" si="7"/>
        <v>953191.30361440801</v>
      </c>
      <c r="I40" s="61">
        <f t="shared" si="8"/>
        <v>79432.608634534001</v>
      </c>
    </row>
    <row r="41" spans="2:9" ht="18.75" customHeight="1" x14ac:dyDescent="0.2">
      <c r="B41" s="27">
        <v>11</v>
      </c>
      <c r="D41" s="71">
        <v>11</v>
      </c>
      <c r="E41" s="61">
        <f t="shared" si="9"/>
        <v>50495.733430100692</v>
      </c>
      <c r="F41" s="61">
        <f t="shared" si="6"/>
        <v>605948.80116120831</v>
      </c>
      <c r="G41" s="37">
        <f t="shared" ref="G41:G45" si="13">G40*$J$28</f>
        <v>526536.09017856012</v>
      </c>
      <c r="H41" s="61">
        <f t="shared" si="7"/>
        <v>1132484.8913397684</v>
      </c>
      <c r="I41" s="61">
        <f t="shared" si="8"/>
        <v>94373.740944980702</v>
      </c>
    </row>
    <row r="42" spans="2:9" ht="18.75" customHeight="1" x14ac:dyDescent="0.2">
      <c r="B42" s="27">
        <v>12</v>
      </c>
      <c r="D42" s="71">
        <v>12</v>
      </c>
      <c r="E42" s="61">
        <f t="shared" si="9"/>
        <v>53020.520101605733</v>
      </c>
      <c r="F42" s="61">
        <f t="shared" si="6"/>
        <v>636246.24121926876</v>
      </c>
      <c r="G42" s="37">
        <f t="shared" si="13"/>
        <v>737150.52624998416</v>
      </c>
      <c r="H42" s="61">
        <f t="shared" si="7"/>
        <v>1373396.7674692529</v>
      </c>
      <c r="I42" s="61">
        <f t="shared" si="8"/>
        <v>114449.73062243774</v>
      </c>
    </row>
    <row r="43" spans="2:9" ht="18.75" customHeight="1" x14ac:dyDescent="0.2">
      <c r="B43" s="27">
        <v>13</v>
      </c>
      <c r="D43" s="71">
        <v>13</v>
      </c>
      <c r="E43" s="61">
        <f t="shared" si="9"/>
        <v>55671.546106686023</v>
      </c>
      <c r="F43" s="61">
        <f t="shared" si="6"/>
        <v>668058.55328023224</v>
      </c>
      <c r="G43" s="37">
        <f t="shared" si="13"/>
        <v>1032010.7367499778</v>
      </c>
      <c r="H43" s="61">
        <f t="shared" si="7"/>
        <v>1700069.29003021</v>
      </c>
      <c r="I43" s="61">
        <f t="shared" si="8"/>
        <v>141672.44083585084</v>
      </c>
    </row>
    <row r="44" spans="2:9" ht="18.75" customHeight="1" x14ac:dyDescent="0.2">
      <c r="B44" s="27">
        <v>14</v>
      </c>
      <c r="D44" s="71">
        <v>14</v>
      </c>
      <c r="E44" s="61">
        <f t="shared" si="9"/>
        <v>58455.123412020323</v>
      </c>
      <c r="F44" s="61">
        <f t="shared" si="6"/>
        <v>701461.48094424384</v>
      </c>
      <c r="G44" s="37">
        <f t="shared" si="13"/>
        <v>1444815.0314499689</v>
      </c>
      <c r="H44" s="61">
        <f t="shared" si="7"/>
        <v>2146276.5123942127</v>
      </c>
      <c r="I44" s="61">
        <f t="shared" si="8"/>
        <v>178856.37603285105</v>
      </c>
    </row>
    <row r="45" spans="2:9" ht="18.75" customHeight="1" x14ac:dyDescent="0.2">
      <c r="B45" s="27">
        <v>15</v>
      </c>
      <c r="D45" s="71">
        <v>15</v>
      </c>
      <c r="E45" s="61">
        <f t="shared" si="9"/>
        <v>61377.879582621339</v>
      </c>
      <c r="F45" s="61">
        <f t="shared" si="6"/>
        <v>736534.5549914561</v>
      </c>
      <c r="G45" s="37">
        <f t="shared" si="13"/>
        <v>2022741.0440299565</v>
      </c>
      <c r="H45" s="61">
        <f t="shared" si="7"/>
        <v>2759275.5990214124</v>
      </c>
      <c r="I45" s="61">
        <f t="shared" si="8"/>
        <v>229939.63325178437</v>
      </c>
    </row>
    <row r="46" spans="2:9" ht="14.25" customHeight="1" x14ac:dyDescent="0.2"/>
    <row r="47" spans="2:9" ht="14.25" customHeight="1" x14ac:dyDescent="0.2"/>
    <row r="48" spans="2:9" ht="14.25" customHeight="1" x14ac:dyDescent="0.2"/>
    <row r="49" spans="2:5" ht="14.25" customHeight="1" x14ac:dyDescent="0.2"/>
    <row r="50" spans="2:5" ht="14.25" customHeight="1" x14ac:dyDescent="0.2"/>
    <row r="51" spans="2:5" ht="14.25" customHeight="1" x14ac:dyDescent="0.2"/>
    <row r="52" spans="2:5" ht="14.25" customHeight="1" x14ac:dyDescent="0.2"/>
    <row r="53" spans="2:5" ht="14.25" customHeight="1" x14ac:dyDescent="0.2"/>
    <row r="54" spans="2:5" ht="14.25" customHeight="1" x14ac:dyDescent="0.2">
      <c r="C54" s="1" t="s">
        <v>177</v>
      </c>
    </row>
    <row r="55" spans="2:5" ht="14.25" customHeight="1" x14ac:dyDescent="0.2">
      <c r="B55" s="1" t="s">
        <v>178</v>
      </c>
      <c r="C55" s="1">
        <v>15000</v>
      </c>
      <c r="D55" s="77">
        <v>0.05</v>
      </c>
      <c r="E55" s="1">
        <f>C55*D55</f>
        <v>750</v>
      </c>
    </row>
    <row r="56" spans="2:5" ht="14.25" customHeight="1" x14ac:dyDescent="0.2">
      <c r="B56" s="19" t="s">
        <v>179</v>
      </c>
      <c r="C56" s="19">
        <f>E55</f>
        <v>750</v>
      </c>
    </row>
    <row r="57" spans="2:5" ht="14.25" customHeight="1" x14ac:dyDescent="0.2">
      <c r="B57" s="19" t="s">
        <v>180</v>
      </c>
      <c r="C57" s="19">
        <f>C56*D57</f>
        <v>9000</v>
      </c>
      <c r="D57" s="1">
        <v>12</v>
      </c>
    </row>
    <row r="58" spans="2:5" ht="14.25" customHeight="1" x14ac:dyDescent="0.2"/>
    <row r="59" spans="2:5" ht="14.25" customHeight="1" x14ac:dyDescent="0.2">
      <c r="C59" s="1" t="s">
        <v>181</v>
      </c>
    </row>
    <row r="60" spans="2:5" ht="14.25" customHeight="1" x14ac:dyDescent="0.2">
      <c r="B60" s="1" t="s">
        <v>178</v>
      </c>
      <c r="C60" s="1">
        <v>17500</v>
      </c>
      <c r="D60" s="77">
        <v>0.05</v>
      </c>
      <c r="E60" s="1">
        <f>C60*D60</f>
        <v>875</v>
      </c>
    </row>
    <row r="61" spans="2:5" ht="14.25" customHeight="1" x14ac:dyDescent="0.2">
      <c r="B61" s="19" t="s">
        <v>179</v>
      </c>
      <c r="C61" s="19">
        <f>E60</f>
        <v>875</v>
      </c>
    </row>
    <row r="62" spans="2:5" ht="14.25" customHeight="1" x14ac:dyDescent="0.2">
      <c r="B62" s="19" t="s">
        <v>180</v>
      </c>
      <c r="C62" s="19">
        <f>C61*D62</f>
        <v>10500</v>
      </c>
      <c r="D62" s="1">
        <v>12</v>
      </c>
    </row>
    <row r="63" spans="2:5" ht="14.25" customHeight="1" x14ac:dyDescent="0.2"/>
    <row r="64" spans="2:5" ht="14.25" customHeight="1" x14ac:dyDescent="0.2">
      <c r="C64" s="1" t="s">
        <v>182</v>
      </c>
    </row>
    <row r="65" spans="2:13" ht="14.25" customHeight="1" x14ac:dyDescent="0.2">
      <c r="B65" s="1" t="s">
        <v>178</v>
      </c>
      <c r="C65" s="1">
        <v>20000</v>
      </c>
      <c r="D65" s="77">
        <v>0.05</v>
      </c>
      <c r="E65" s="1">
        <f>C65*D65</f>
        <v>1000</v>
      </c>
    </row>
    <row r="66" spans="2:13" ht="14.25" customHeight="1" x14ac:dyDescent="0.2">
      <c r="B66" s="19" t="s">
        <v>179</v>
      </c>
      <c r="C66" s="19">
        <f>E65</f>
        <v>1000</v>
      </c>
    </row>
    <row r="67" spans="2:13" ht="14.25" customHeight="1" x14ac:dyDescent="0.2">
      <c r="B67" s="19" t="s">
        <v>180</v>
      </c>
      <c r="C67" s="19">
        <f>C66*D67</f>
        <v>12000</v>
      </c>
      <c r="D67" s="1">
        <v>12</v>
      </c>
    </row>
    <row r="68" spans="2:13" ht="14.25" customHeight="1" x14ac:dyDescent="0.2"/>
    <row r="69" spans="2:13" ht="14.25" customHeight="1" x14ac:dyDescent="0.2">
      <c r="C69" s="1" t="s">
        <v>183</v>
      </c>
    </row>
    <row r="70" spans="2:13" ht="14.25" customHeight="1" x14ac:dyDescent="0.2">
      <c r="C70" s="1">
        <v>23000</v>
      </c>
      <c r="D70" s="77">
        <v>0.05</v>
      </c>
      <c r="E70" s="1">
        <f>C70*D70</f>
        <v>1150</v>
      </c>
    </row>
    <row r="71" spans="2:13" ht="14.25" customHeight="1" x14ac:dyDescent="0.2">
      <c r="B71" s="19" t="s">
        <v>179</v>
      </c>
      <c r="C71" s="19">
        <f>E70</f>
        <v>1150</v>
      </c>
    </row>
    <row r="72" spans="2:13" ht="14.25" customHeight="1" x14ac:dyDescent="0.2">
      <c r="B72" s="19" t="s">
        <v>180</v>
      </c>
      <c r="C72" s="19">
        <f>C71*D72</f>
        <v>13800</v>
      </c>
      <c r="D72" s="1">
        <v>12</v>
      </c>
    </row>
    <row r="73" spans="2:13" ht="14.25" customHeight="1" x14ac:dyDescent="0.2"/>
    <row r="74" spans="2:13" ht="14.25" customHeight="1" x14ac:dyDescent="0.2"/>
    <row r="75" spans="2:13" ht="14.25" customHeight="1" x14ac:dyDescent="0.2">
      <c r="C75" s="1" t="s">
        <v>184</v>
      </c>
      <c r="D75" s="1">
        <v>20</v>
      </c>
      <c r="E75" s="1" t="s">
        <v>185</v>
      </c>
      <c r="I75" s="1" t="s">
        <v>186</v>
      </c>
      <c r="J75" s="1" t="s">
        <v>187</v>
      </c>
      <c r="K75" s="1" t="s">
        <v>188</v>
      </c>
      <c r="L75" s="1" t="s">
        <v>189</v>
      </c>
      <c r="M75" s="1" t="s">
        <v>190</v>
      </c>
    </row>
    <row r="76" spans="2:13" ht="14.25" customHeight="1" x14ac:dyDescent="0.2">
      <c r="B76" s="1">
        <v>2025</v>
      </c>
      <c r="C76" s="1">
        <v>20</v>
      </c>
      <c r="E76" s="1">
        <v>2</v>
      </c>
      <c r="F76" s="1">
        <v>40</v>
      </c>
      <c r="G76" s="1">
        <v>12000</v>
      </c>
      <c r="I76" s="1">
        <v>300</v>
      </c>
      <c r="J76" s="1">
        <v>365</v>
      </c>
      <c r="K76" s="1">
        <v>52</v>
      </c>
      <c r="L76" s="1">
        <v>13</v>
      </c>
      <c r="M76" s="1">
        <v>65</v>
      </c>
    </row>
    <row r="77" spans="2:13" ht="14.25" customHeight="1" x14ac:dyDescent="0.2">
      <c r="B77" s="1">
        <v>2026</v>
      </c>
      <c r="C77" s="1">
        <v>20</v>
      </c>
      <c r="E77" s="1">
        <v>2</v>
      </c>
      <c r="F77" s="1">
        <v>40</v>
      </c>
      <c r="G77" s="1">
        <v>12000</v>
      </c>
      <c r="I77" s="1">
        <v>300</v>
      </c>
      <c r="J77" s="1">
        <v>365</v>
      </c>
      <c r="K77" s="1">
        <v>52</v>
      </c>
      <c r="L77" s="1">
        <v>13</v>
      </c>
      <c r="M77" s="1">
        <v>65</v>
      </c>
    </row>
    <row r="78" spans="2:13" ht="14.25" customHeight="1" x14ac:dyDescent="0.2">
      <c r="B78" s="1">
        <v>2027</v>
      </c>
      <c r="C78" s="1">
        <v>25</v>
      </c>
      <c r="D78" s="1">
        <v>5</v>
      </c>
      <c r="E78" s="1">
        <v>2</v>
      </c>
      <c r="F78" s="1">
        <v>50</v>
      </c>
      <c r="G78" s="1">
        <v>15000</v>
      </c>
      <c r="I78" s="1">
        <v>300</v>
      </c>
      <c r="J78" s="1">
        <v>365</v>
      </c>
      <c r="K78" s="1">
        <v>52</v>
      </c>
      <c r="L78" s="1">
        <v>13</v>
      </c>
      <c r="M78" s="1">
        <v>65</v>
      </c>
    </row>
    <row r="79" spans="2:13" ht="14.25" customHeight="1" x14ac:dyDescent="0.2">
      <c r="B79" s="1">
        <v>2028</v>
      </c>
      <c r="C79" s="1">
        <v>25</v>
      </c>
      <c r="E79" s="1">
        <v>2</v>
      </c>
      <c r="F79" s="1">
        <v>50</v>
      </c>
      <c r="G79" s="1">
        <v>15000</v>
      </c>
      <c r="I79" s="1">
        <v>300</v>
      </c>
      <c r="J79" s="1">
        <v>365</v>
      </c>
      <c r="K79" s="1">
        <v>52</v>
      </c>
      <c r="L79" s="1">
        <v>13</v>
      </c>
      <c r="M79" s="1">
        <v>65</v>
      </c>
    </row>
    <row r="80" spans="2:13" ht="14.25" customHeight="1" x14ac:dyDescent="0.2">
      <c r="B80" s="1">
        <v>2029</v>
      </c>
      <c r="C80" s="1">
        <v>25</v>
      </c>
      <c r="E80" s="1">
        <v>2</v>
      </c>
      <c r="F80" s="1">
        <v>50</v>
      </c>
      <c r="G80" s="1">
        <v>15000</v>
      </c>
      <c r="I80" s="1">
        <v>300</v>
      </c>
      <c r="J80" s="1">
        <v>365</v>
      </c>
      <c r="K80" s="1">
        <v>52</v>
      </c>
      <c r="L80" s="1">
        <v>13</v>
      </c>
      <c r="M80" s="1">
        <v>65</v>
      </c>
    </row>
    <row r="81" spans="2:13" ht="14.25" customHeight="1" x14ac:dyDescent="0.2">
      <c r="B81" s="1">
        <v>2030</v>
      </c>
      <c r="C81" s="1">
        <v>30</v>
      </c>
      <c r="D81" s="1">
        <v>5</v>
      </c>
      <c r="E81" s="1">
        <v>2</v>
      </c>
      <c r="F81" s="1">
        <v>60</v>
      </c>
      <c r="G81" s="1">
        <v>18000</v>
      </c>
      <c r="I81" s="1">
        <v>300</v>
      </c>
      <c r="J81" s="1">
        <v>365</v>
      </c>
      <c r="K81" s="1">
        <v>52</v>
      </c>
      <c r="L81" s="1">
        <v>13</v>
      </c>
      <c r="M81" s="1">
        <v>65</v>
      </c>
    </row>
    <row r="82" spans="2:13" ht="14.25" customHeight="1" x14ac:dyDescent="0.2">
      <c r="B82" s="1">
        <v>2031</v>
      </c>
      <c r="C82" s="1">
        <v>30</v>
      </c>
      <c r="E82" s="1">
        <v>2</v>
      </c>
      <c r="F82" s="1">
        <v>60</v>
      </c>
      <c r="G82" s="1">
        <v>18000</v>
      </c>
      <c r="I82" s="1">
        <v>300</v>
      </c>
      <c r="J82" s="1">
        <v>365</v>
      </c>
      <c r="K82" s="1">
        <v>52</v>
      </c>
      <c r="L82" s="1">
        <v>13</v>
      </c>
      <c r="M82" s="1">
        <v>65</v>
      </c>
    </row>
    <row r="83" spans="2:13" ht="14.25" customHeight="1" x14ac:dyDescent="0.2">
      <c r="B83" s="1">
        <v>2032</v>
      </c>
      <c r="C83" s="1">
        <v>40</v>
      </c>
      <c r="D83" s="1">
        <v>10</v>
      </c>
      <c r="E83" s="1">
        <v>2</v>
      </c>
      <c r="F83" s="1">
        <v>80</v>
      </c>
      <c r="G83" s="1">
        <v>24000</v>
      </c>
      <c r="I83" s="1">
        <v>300</v>
      </c>
      <c r="J83" s="1">
        <v>365</v>
      </c>
      <c r="K83" s="1">
        <v>52</v>
      </c>
      <c r="L83" s="1">
        <v>13</v>
      </c>
      <c r="M83" s="1">
        <v>65</v>
      </c>
    </row>
    <row r="84" spans="2:13" ht="14.25" customHeight="1" x14ac:dyDescent="0.2">
      <c r="B84" s="1">
        <v>2033</v>
      </c>
      <c r="C84" s="1">
        <v>40</v>
      </c>
      <c r="E84" s="1">
        <v>2</v>
      </c>
      <c r="F84" s="1">
        <v>80</v>
      </c>
      <c r="G84" s="1">
        <v>24000</v>
      </c>
      <c r="I84" s="1">
        <v>300</v>
      </c>
      <c r="J84" s="1">
        <v>365</v>
      </c>
      <c r="K84" s="1">
        <v>52</v>
      </c>
      <c r="L84" s="1">
        <v>13</v>
      </c>
      <c r="M84" s="1">
        <v>65</v>
      </c>
    </row>
    <row r="85" spans="2:13" ht="14.25" customHeight="1" x14ac:dyDescent="0.2">
      <c r="B85" s="1">
        <v>2034</v>
      </c>
      <c r="C85" s="1">
        <v>40</v>
      </c>
      <c r="E85" s="1">
        <v>2</v>
      </c>
      <c r="F85" s="1">
        <v>80</v>
      </c>
      <c r="G85" s="1">
        <v>24000</v>
      </c>
      <c r="I85" s="1">
        <v>300</v>
      </c>
      <c r="J85" s="1">
        <v>365</v>
      </c>
      <c r="K85" s="1">
        <v>52</v>
      </c>
      <c r="L85" s="1">
        <v>13</v>
      </c>
      <c r="M85" s="1">
        <v>65</v>
      </c>
    </row>
    <row r="86" spans="2:13" ht="14.25" customHeight="1" x14ac:dyDescent="0.2"/>
    <row r="87" spans="2:13" ht="14.25" customHeight="1" x14ac:dyDescent="0.2"/>
    <row r="88" spans="2:13" ht="14.25" customHeight="1" x14ac:dyDescent="0.2">
      <c r="B88" s="1" t="s">
        <v>191</v>
      </c>
      <c r="E88" s="1" t="s">
        <v>192</v>
      </c>
    </row>
    <row r="89" spans="2:13" ht="14.25" customHeight="1" x14ac:dyDescent="0.2">
      <c r="B89" s="1" t="s">
        <v>193</v>
      </c>
      <c r="C89" s="1" t="s">
        <v>194</v>
      </c>
      <c r="E89" s="1" t="s">
        <v>195</v>
      </c>
      <c r="F89" s="1" t="s">
        <v>196</v>
      </c>
    </row>
    <row r="90" spans="2:13" ht="14.25" customHeight="1" x14ac:dyDescent="0.2">
      <c r="B90" s="1" t="s">
        <v>197</v>
      </c>
      <c r="C90" s="7">
        <v>1094000</v>
      </c>
      <c r="E90" s="1" t="s">
        <v>198</v>
      </c>
      <c r="F90" s="7">
        <v>4390000</v>
      </c>
    </row>
    <row r="91" spans="2:13" ht="14.25" customHeight="1" x14ac:dyDescent="0.2">
      <c r="B91" s="1" t="s">
        <v>199</v>
      </c>
      <c r="C91" s="78" t="s">
        <v>200</v>
      </c>
      <c r="E91" s="1" t="s">
        <v>199</v>
      </c>
      <c r="F91" s="78" t="s">
        <v>201</v>
      </c>
    </row>
    <row r="92" spans="2:13" ht="14.25" customHeight="1" x14ac:dyDescent="0.2">
      <c r="B92" s="1" t="s">
        <v>202</v>
      </c>
      <c r="C92" s="7">
        <v>820500</v>
      </c>
      <c r="E92" s="1" t="s">
        <v>202</v>
      </c>
      <c r="F92" s="6">
        <f>F90-F98</f>
        <v>3512000</v>
      </c>
    </row>
    <row r="93" spans="2:13" ht="14.25" customHeight="1" x14ac:dyDescent="0.2">
      <c r="B93" s="1" t="s">
        <v>203</v>
      </c>
      <c r="C93" s="32">
        <v>4.0500000000000001E-2</v>
      </c>
      <c r="E93" s="1" t="s">
        <v>203</v>
      </c>
      <c r="F93" s="77">
        <v>0.03</v>
      </c>
    </row>
    <row r="94" spans="2:13" ht="14.25" customHeight="1" x14ac:dyDescent="0.2">
      <c r="B94" s="1" t="s">
        <v>204</v>
      </c>
      <c r="C94" s="31" t="s">
        <v>205</v>
      </c>
      <c r="E94" s="1" t="s">
        <v>204</v>
      </c>
      <c r="F94" s="31" t="s">
        <v>206</v>
      </c>
    </row>
    <row r="95" spans="2:13" ht="14.25" customHeight="1" x14ac:dyDescent="0.2">
      <c r="B95" s="1" t="s">
        <v>207</v>
      </c>
      <c r="C95" s="7">
        <v>12537</v>
      </c>
      <c r="E95" s="1" t="s">
        <v>208</v>
      </c>
      <c r="F95" s="59">
        <f>PMT(F93/12,360,-3512000,0,0)</f>
        <v>14806.7336645783</v>
      </c>
      <c r="I95" s="1" t="e">
        <f>#REF!*360</f>
        <v>#REF!</v>
      </c>
    </row>
    <row r="96" spans="2:13" ht="14.25" customHeight="1" x14ac:dyDescent="0.2">
      <c r="B96" s="1" t="s">
        <v>209</v>
      </c>
      <c r="C96" s="7">
        <f>C95*12</f>
        <v>150444</v>
      </c>
      <c r="E96" s="1" t="s">
        <v>209</v>
      </c>
      <c r="F96" s="1">
        <f>F95*12</f>
        <v>177680.8039749396</v>
      </c>
    </row>
    <row r="97" spans="1:6" ht="14.25" customHeight="1" x14ac:dyDescent="0.2">
      <c r="B97" s="1" t="s">
        <v>199</v>
      </c>
    </row>
    <row r="98" spans="1:6" ht="14.25" customHeight="1" x14ac:dyDescent="0.2">
      <c r="C98" s="11">
        <f>C90*0.25</f>
        <v>273500</v>
      </c>
      <c r="F98" s="79">
        <f>F90*0.2</f>
        <v>878000</v>
      </c>
    </row>
    <row r="99" spans="1:6" ht="14.25" customHeight="1" x14ac:dyDescent="0.2">
      <c r="C99" s="11">
        <f>C90-C98</f>
        <v>820500</v>
      </c>
      <c r="F99" s="79">
        <f>F90-F98</f>
        <v>3512000</v>
      </c>
    </row>
    <row r="100" spans="1:6" ht="14.25" customHeight="1" x14ac:dyDescent="0.2"/>
    <row r="101" spans="1:6" ht="14.25" customHeight="1" x14ac:dyDescent="0.2">
      <c r="C101" s="59">
        <f>PMT(C93/12,84,-1649250,0,0)</f>
        <v>22581.257172011719</v>
      </c>
    </row>
    <row r="102" spans="1:6" ht="14.25" customHeight="1" x14ac:dyDescent="0.2"/>
    <row r="103" spans="1:6" ht="14.25" customHeight="1" x14ac:dyDescent="0.2">
      <c r="B103" s="1" t="s">
        <v>210</v>
      </c>
      <c r="C103" s="7">
        <f>C95*84</f>
        <v>1053108</v>
      </c>
      <c r="E103" s="1" t="s">
        <v>210</v>
      </c>
      <c r="F103" s="1">
        <f>F95*360</f>
        <v>5330424.1192481881</v>
      </c>
    </row>
    <row r="104" spans="1:6" ht="14.25" customHeight="1" x14ac:dyDescent="0.2"/>
    <row r="105" spans="1:6" ht="14.25" customHeight="1" x14ac:dyDescent="0.2"/>
    <row r="106" spans="1:6" ht="14.25" customHeight="1" x14ac:dyDescent="0.2"/>
    <row r="107" spans="1:6" ht="14.25" customHeight="1" x14ac:dyDescent="0.2">
      <c r="A107" s="1" t="s">
        <v>211</v>
      </c>
      <c r="B107" s="1">
        <v>1</v>
      </c>
      <c r="C107" s="1">
        <v>0.03</v>
      </c>
      <c r="D107" s="1">
        <f t="shared" ref="D107:D110" si="14">B107+C107</f>
        <v>1.03</v>
      </c>
    </row>
    <row r="108" spans="1:6" ht="14.25" customHeight="1" x14ac:dyDescent="0.2">
      <c r="A108" s="1" t="s">
        <v>212</v>
      </c>
      <c r="B108" s="1">
        <v>1</v>
      </c>
      <c r="C108" s="1">
        <v>3.5000000000000003E-2</v>
      </c>
      <c r="D108" s="1">
        <f t="shared" si="14"/>
        <v>1.0349999999999999</v>
      </c>
    </row>
    <row r="109" spans="1:6" ht="14.25" customHeight="1" x14ac:dyDescent="0.2">
      <c r="A109" s="1" t="s">
        <v>213</v>
      </c>
      <c r="B109" s="1">
        <v>1</v>
      </c>
      <c r="C109" s="1">
        <v>9.5000000000000001E-2</v>
      </c>
      <c r="D109" s="1">
        <f t="shared" si="14"/>
        <v>1.095</v>
      </c>
    </row>
    <row r="110" spans="1:6" ht="14.25" customHeight="1" x14ac:dyDescent="0.2">
      <c r="A110" s="1" t="s">
        <v>214</v>
      </c>
      <c r="B110" s="1">
        <v>1</v>
      </c>
      <c r="C110" s="1">
        <v>3.5000000000000003E-2</v>
      </c>
      <c r="D110" s="1">
        <f t="shared" si="14"/>
        <v>1.0349999999999999</v>
      </c>
    </row>
    <row r="111" spans="1:6" ht="14.25" customHeight="1" x14ac:dyDescent="0.2"/>
    <row r="112" spans="1:6" ht="14.25" customHeight="1" x14ac:dyDescent="0.2">
      <c r="B112" s="1" t="str">
        <f>A107</f>
        <v>ssf</v>
      </c>
      <c r="C112" s="1" t="str">
        <f>A108</f>
        <v>rmf</v>
      </c>
      <c r="D112" s="1" t="str">
        <f>A109</f>
        <v>etf s&amp;p</v>
      </c>
      <c r="E112" s="1" t="str">
        <f>A110</f>
        <v>etf พัทธบัตร</v>
      </c>
    </row>
    <row r="113" spans="1:5" ht="14.25" customHeight="1" x14ac:dyDescent="0.2">
      <c r="B113" s="1">
        <f>D107</f>
        <v>1.03</v>
      </c>
      <c r="C113" s="1">
        <f>D108</f>
        <v>1.0349999999999999</v>
      </c>
      <c r="D113" s="1">
        <f>D109</f>
        <v>1.095</v>
      </c>
      <c r="E113" s="1">
        <f>D110</f>
        <v>1.0349999999999999</v>
      </c>
    </row>
    <row r="114" spans="1:5" ht="14.25" customHeight="1" x14ac:dyDescent="0.2">
      <c r="A114" s="1">
        <v>1</v>
      </c>
      <c r="B114" s="1">
        <f t="shared" ref="B114:B128" si="15">$B$113^A114</f>
        <v>1.03</v>
      </c>
      <c r="C114" s="1">
        <f t="shared" ref="C114:C128" si="16">$C$113^A114</f>
        <v>1.0349999999999999</v>
      </c>
      <c r="D114" s="1">
        <f t="shared" ref="D114:D128" si="17">$D$113^A114</f>
        <v>1.095</v>
      </c>
      <c r="E114" s="1">
        <f t="shared" ref="E114:E128" si="18">$E$113^A114</f>
        <v>1.0349999999999999</v>
      </c>
    </row>
    <row r="115" spans="1:5" ht="14.25" customHeight="1" x14ac:dyDescent="0.2">
      <c r="A115" s="1">
        <v>2</v>
      </c>
      <c r="B115" s="1">
        <f t="shared" si="15"/>
        <v>1.0609</v>
      </c>
      <c r="C115" s="1">
        <f t="shared" si="16"/>
        <v>1.0712249999999999</v>
      </c>
      <c r="D115" s="1">
        <f t="shared" si="17"/>
        <v>1.199025</v>
      </c>
      <c r="E115" s="1">
        <f t="shared" si="18"/>
        <v>1.0712249999999999</v>
      </c>
    </row>
    <row r="116" spans="1:5" ht="14.25" customHeight="1" x14ac:dyDescent="0.2">
      <c r="A116" s="1">
        <v>3</v>
      </c>
      <c r="B116" s="1">
        <f t="shared" si="15"/>
        <v>1.092727</v>
      </c>
      <c r="C116" s="1">
        <f t="shared" si="16"/>
        <v>1.1087178749999997</v>
      </c>
      <c r="D116" s="1">
        <f t="shared" si="17"/>
        <v>1.3129323749999999</v>
      </c>
      <c r="E116" s="1">
        <f t="shared" si="18"/>
        <v>1.1087178749999997</v>
      </c>
    </row>
    <row r="117" spans="1:5" ht="14.25" customHeight="1" x14ac:dyDescent="0.2">
      <c r="A117" s="1">
        <v>4</v>
      </c>
      <c r="B117" s="1">
        <f t="shared" si="15"/>
        <v>1.1255088099999999</v>
      </c>
      <c r="C117" s="1">
        <f t="shared" si="16"/>
        <v>1.1475230006249997</v>
      </c>
      <c r="D117" s="1">
        <f t="shared" si="17"/>
        <v>1.437660950625</v>
      </c>
      <c r="E117" s="1">
        <f t="shared" si="18"/>
        <v>1.1475230006249997</v>
      </c>
    </row>
    <row r="118" spans="1:5" ht="14.25" customHeight="1" x14ac:dyDescent="0.2">
      <c r="A118" s="1">
        <v>5</v>
      </c>
      <c r="B118" s="1">
        <f t="shared" si="15"/>
        <v>1.1592740742999998</v>
      </c>
      <c r="C118" s="1">
        <f t="shared" si="16"/>
        <v>1.1876863056468745</v>
      </c>
      <c r="D118" s="1">
        <f t="shared" si="17"/>
        <v>1.574238740934375</v>
      </c>
      <c r="E118" s="1">
        <f t="shared" si="18"/>
        <v>1.1876863056468745</v>
      </c>
    </row>
    <row r="119" spans="1:5" ht="14.25" customHeight="1" x14ac:dyDescent="0.2">
      <c r="A119" s="1">
        <v>6</v>
      </c>
      <c r="B119" s="1">
        <f t="shared" si="15"/>
        <v>1.1940522965289999</v>
      </c>
      <c r="C119" s="1">
        <f t="shared" si="16"/>
        <v>1.2292553263445152</v>
      </c>
      <c r="D119" s="1">
        <f t="shared" si="17"/>
        <v>1.7237914213231407</v>
      </c>
      <c r="E119" s="1">
        <f t="shared" si="18"/>
        <v>1.2292553263445152</v>
      </c>
    </row>
    <row r="120" spans="1:5" ht="14.25" customHeight="1" x14ac:dyDescent="0.2">
      <c r="A120" s="1">
        <v>7</v>
      </c>
      <c r="B120" s="1">
        <f t="shared" si="15"/>
        <v>1.22987386542487</v>
      </c>
      <c r="C120" s="1">
        <f t="shared" si="16"/>
        <v>1.2722792627665731</v>
      </c>
      <c r="D120" s="1">
        <f t="shared" si="17"/>
        <v>1.8875516063488389</v>
      </c>
      <c r="E120" s="1">
        <f t="shared" si="18"/>
        <v>1.2722792627665731</v>
      </c>
    </row>
    <row r="121" spans="1:5" ht="14.25" customHeight="1" x14ac:dyDescent="0.2">
      <c r="A121" s="1">
        <v>8</v>
      </c>
      <c r="B121" s="1">
        <f t="shared" si="15"/>
        <v>1.2667700813876159</v>
      </c>
      <c r="C121" s="1">
        <f t="shared" si="16"/>
        <v>1.3168090369634029</v>
      </c>
      <c r="D121" s="1">
        <f t="shared" si="17"/>
        <v>2.0668690089519788</v>
      </c>
      <c r="E121" s="1">
        <f t="shared" si="18"/>
        <v>1.3168090369634029</v>
      </c>
    </row>
    <row r="122" spans="1:5" ht="14.25" customHeight="1" x14ac:dyDescent="0.2">
      <c r="A122" s="1">
        <v>9</v>
      </c>
      <c r="B122" s="1">
        <f t="shared" si="15"/>
        <v>1.3047731838292445</v>
      </c>
      <c r="C122" s="1">
        <f t="shared" si="16"/>
        <v>1.3628973532571218</v>
      </c>
      <c r="D122" s="1">
        <f t="shared" si="17"/>
        <v>2.2632215648024165</v>
      </c>
      <c r="E122" s="1">
        <f t="shared" si="18"/>
        <v>1.3628973532571218</v>
      </c>
    </row>
    <row r="123" spans="1:5" ht="14.25" customHeight="1" x14ac:dyDescent="0.2">
      <c r="A123" s="1">
        <v>10</v>
      </c>
      <c r="B123" s="1">
        <f t="shared" si="15"/>
        <v>1.3439163793441218</v>
      </c>
      <c r="C123" s="1">
        <f t="shared" si="16"/>
        <v>1.410598760621121</v>
      </c>
      <c r="D123" s="1">
        <f t="shared" si="17"/>
        <v>2.4782276134586465</v>
      </c>
      <c r="E123" s="1">
        <f t="shared" si="18"/>
        <v>1.410598760621121</v>
      </c>
    </row>
    <row r="124" spans="1:5" ht="14.25" customHeight="1" x14ac:dyDescent="0.2">
      <c r="A124" s="1">
        <v>11</v>
      </c>
      <c r="B124" s="1">
        <f t="shared" si="15"/>
        <v>1.3842338707244455</v>
      </c>
      <c r="C124" s="1">
        <f t="shared" si="16"/>
        <v>1.4599697172428603</v>
      </c>
      <c r="D124" s="1">
        <f t="shared" si="17"/>
        <v>2.7136592367372177</v>
      </c>
      <c r="E124" s="1">
        <f t="shared" si="18"/>
        <v>1.4599697172428603</v>
      </c>
    </row>
    <row r="125" spans="1:5" ht="14.25" customHeight="1" x14ac:dyDescent="0.2">
      <c r="A125" s="1">
        <v>12</v>
      </c>
      <c r="B125" s="1">
        <f t="shared" si="15"/>
        <v>1.4257608868461786</v>
      </c>
      <c r="C125" s="1">
        <f t="shared" si="16"/>
        <v>1.5110686573463603</v>
      </c>
      <c r="D125" s="1">
        <f t="shared" si="17"/>
        <v>2.9714568642272536</v>
      </c>
      <c r="E125" s="1">
        <f t="shared" si="18"/>
        <v>1.5110686573463603</v>
      </c>
    </row>
    <row r="126" spans="1:5" ht="14.25" customHeight="1" x14ac:dyDescent="0.2">
      <c r="A126" s="1">
        <v>13</v>
      </c>
      <c r="B126" s="1">
        <f t="shared" si="15"/>
        <v>1.4685337134515639</v>
      </c>
      <c r="C126" s="1">
        <f t="shared" si="16"/>
        <v>1.5639560603534826</v>
      </c>
      <c r="D126" s="1">
        <f t="shared" si="17"/>
        <v>3.2537452663288424</v>
      </c>
      <c r="E126" s="1">
        <f t="shared" si="18"/>
        <v>1.5639560603534826</v>
      </c>
    </row>
    <row r="127" spans="1:5" ht="14.25" customHeight="1" x14ac:dyDescent="0.2">
      <c r="A127" s="1">
        <v>14</v>
      </c>
      <c r="B127" s="1">
        <f t="shared" si="15"/>
        <v>1.512589724855111</v>
      </c>
      <c r="C127" s="1">
        <f t="shared" si="16"/>
        <v>1.6186945224658547</v>
      </c>
      <c r="D127" s="1">
        <f t="shared" si="17"/>
        <v>3.5628510666300826</v>
      </c>
      <c r="E127" s="1">
        <f t="shared" si="18"/>
        <v>1.6186945224658547</v>
      </c>
    </row>
    <row r="128" spans="1:5" ht="14.25" customHeight="1" x14ac:dyDescent="0.2">
      <c r="A128" s="1">
        <v>15</v>
      </c>
      <c r="B128" s="1">
        <f t="shared" si="15"/>
        <v>1.5579674166007644</v>
      </c>
      <c r="C128" s="1">
        <f t="shared" si="16"/>
        <v>1.6753488307521593</v>
      </c>
      <c r="D128" s="1">
        <f t="shared" si="17"/>
        <v>3.9013219179599403</v>
      </c>
      <c r="E128" s="1">
        <f t="shared" si="18"/>
        <v>1.6753488307521593</v>
      </c>
    </row>
    <row r="129" spans="1:16" ht="14.25" customHeight="1" x14ac:dyDescent="0.2"/>
    <row r="130" spans="1:16" ht="14.25" customHeight="1" x14ac:dyDescent="0.2"/>
    <row r="131" spans="1:16" ht="14.25" customHeight="1" x14ac:dyDescent="0.2"/>
    <row r="132" spans="1:16" ht="14.25" customHeight="1" x14ac:dyDescent="0.2">
      <c r="C132" s="1" t="s">
        <v>215</v>
      </c>
      <c r="D132" s="31" t="str">
        <f>E112</f>
        <v>etf พัทธบัตร</v>
      </c>
      <c r="E132" s="31" t="str">
        <f t="shared" ref="E132:F132" si="19">B112</f>
        <v>ssf</v>
      </c>
      <c r="F132" s="31" t="str">
        <f t="shared" si="19"/>
        <v>rmf</v>
      </c>
      <c r="H132" s="1" t="s">
        <v>214</v>
      </c>
      <c r="I132" s="1" t="s">
        <v>211</v>
      </c>
    </row>
    <row r="133" spans="1:16" ht="14.25" customHeight="1" x14ac:dyDescent="0.2">
      <c r="A133" s="1">
        <v>2</v>
      </c>
      <c r="B133" s="1" t="str">
        <f>E112</f>
        <v>etf พัทธบัตร</v>
      </c>
      <c r="C133" s="1">
        <v>47682.32</v>
      </c>
      <c r="G133" s="1">
        <v>6</v>
      </c>
      <c r="H133" s="1">
        <f t="shared" ref="H133:H142" si="20">$D$137*E114</f>
        <v>99093.229901437531</v>
      </c>
      <c r="I133" s="1">
        <f t="shared" ref="I133:I142" si="21">$E$137*B114</f>
        <v>22974.15</v>
      </c>
      <c r="J133" s="1">
        <f t="shared" ref="J133:J142" si="22">H133+I133</f>
        <v>122067.37990143753</v>
      </c>
      <c r="L133" s="1">
        <v>13</v>
      </c>
      <c r="M133" s="1">
        <f t="shared" ref="M133:M135" si="23">$E$144*B114</f>
        <v>206000</v>
      </c>
      <c r="N133" s="1">
        <f t="shared" ref="N133:N135" si="24">$F$144*C114</f>
        <v>14521.780108755191</v>
      </c>
      <c r="O133" s="1">
        <f t="shared" ref="O133:O135" si="25">M133+N133</f>
        <v>220521.78010875519</v>
      </c>
    </row>
    <row r="134" spans="1:16" ht="14.25" customHeight="1" x14ac:dyDescent="0.2">
      <c r="A134" s="1">
        <v>3</v>
      </c>
      <c r="B134" s="1" t="str">
        <f>E112</f>
        <v>etf พัทธบัตร</v>
      </c>
      <c r="C134" s="1">
        <v>45562.939999999995</v>
      </c>
      <c r="G134" s="1">
        <v>7</v>
      </c>
      <c r="H134" s="1">
        <f t="shared" si="20"/>
        <v>102561.49294798783</v>
      </c>
      <c r="I134" s="1">
        <f t="shared" si="21"/>
        <v>23663.374499999998</v>
      </c>
      <c r="J134" s="1">
        <f t="shared" si="22"/>
        <v>126224.86744798784</v>
      </c>
      <c r="L134" s="1">
        <v>14</v>
      </c>
      <c r="M134" s="1">
        <f t="shared" si="23"/>
        <v>212180</v>
      </c>
      <c r="N134" s="1">
        <f t="shared" si="24"/>
        <v>15030.042412561623</v>
      </c>
      <c r="O134" s="1">
        <f t="shared" si="25"/>
        <v>227210.04241256163</v>
      </c>
    </row>
    <row r="135" spans="1:16" ht="14.25" customHeight="1" x14ac:dyDescent="0.2">
      <c r="A135" s="1">
        <v>4</v>
      </c>
      <c r="B135" s="1" t="str">
        <f>E112</f>
        <v>etf พัทธบัตร</v>
      </c>
      <c r="C135" s="1">
        <v>88026.282000000007</v>
      </c>
      <c r="G135" s="1">
        <v>8</v>
      </c>
      <c r="H135" s="1">
        <f t="shared" si="20"/>
        <v>106151.1452011674</v>
      </c>
      <c r="I135" s="1">
        <f t="shared" si="21"/>
        <v>24373.275734999999</v>
      </c>
      <c r="J135" s="1">
        <f t="shared" si="22"/>
        <v>130524.4209361674</v>
      </c>
      <c r="L135" s="1">
        <v>15</v>
      </c>
      <c r="M135" s="1">
        <f t="shared" si="23"/>
        <v>218545.4</v>
      </c>
      <c r="N135" s="1">
        <f t="shared" si="24"/>
        <v>15556.093897001278</v>
      </c>
      <c r="O135" s="1">
        <f t="shared" si="25"/>
        <v>234101.49389700126</v>
      </c>
    </row>
    <row r="136" spans="1:16" ht="14.25" customHeight="1" x14ac:dyDescent="0.2">
      <c r="A136" s="1">
        <v>5</v>
      </c>
      <c r="B136" s="1" t="str">
        <f>E112</f>
        <v>etf พัทธบัตร</v>
      </c>
      <c r="C136" s="1">
        <v>91710.735074999975</v>
      </c>
      <c r="G136" s="1">
        <v>9</v>
      </c>
      <c r="H136" s="1">
        <f t="shared" si="20"/>
        <v>109866.43528320825</v>
      </c>
      <c r="I136" s="1">
        <f t="shared" si="21"/>
        <v>25104.474007049997</v>
      </c>
      <c r="J136" s="1">
        <f t="shared" si="22"/>
        <v>134970.90929025825</v>
      </c>
    </row>
    <row r="137" spans="1:16" ht="14.25" customHeight="1" x14ac:dyDescent="0.2">
      <c r="A137" s="80">
        <v>6</v>
      </c>
      <c r="B137" s="1" t="s">
        <v>216</v>
      </c>
      <c r="C137" s="1">
        <v>118047.25111250003</v>
      </c>
      <c r="D137" s="1">
        <f>C137-E137</f>
        <v>95742.251112500031</v>
      </c>
      <c r="E137" s="1">
        <v>22305</v>
      </c>
      <c r="G137" s="1">
        <v>10</v>
      </c>
      <c r="H137" s="1">
        <f t="shared" si="20"/>
        <v>113711.76051812051</v>
      </c>
      <c r="I137" s="1">
        <f t="shared" si="21"/>
        <v>25857.608227261495</v>
      </c>
      <c r="J137" s="1">
        <f t="shared" si="22"/>
        <v>139569.368745382</v>
      </c>
    </row>
    <row r="138" spans="1:16" ht="14.25" customHeight="1" x14ac:dyDescent="0.2">
      <c r="A138" s="1">
        <v>7</v>
      </c>
      <c r="B138" s="1" t="str">
        <f>D112</f>
        <v>etf s&amp;p</v>
      </c>
      <c r="C138" s="1">
        <v>54222.944538250013</v>
      </c>
      <c r="G138" s="1">
        <v>11</v>
      </c>
      <c r="H138" s="1">
        <f t="shared" si="20"/>
        <v>117691.67213625474</v>
      </c>
      <c r="I138" s="1">
        <f t="shared" si="21"/>
        <v>26633.336474079344</v>
      </c>
      <c r="J138" s="1">
        <f t="shared" si="22"/>
        <v>144325.00861033407</v>
      </c>
      <c r="L138" s="1">
        <v>14</v>
      </c>
      <c r="M138" s="1">
        <f t="shared" ref="M138:M139" si="26">$E$145*B114</f>
        <v>206000</v>
      </c>
      <c r="N138" s="1">
        <f t="shared" ref="N138:N139" si="27">$F$145*C114</f>
        <v>223874.05225277803</v>
      </c>
      <c r="O138" s="1">
        <f t="shared" ref="O138:O139" si="28">M138+N138</f>
        <v>429874.05225277803</v>
      </c>
    </row>
    <row r="139" spans="1:16" ht="14.25" customHeight="1" x14ac:dyDescent="0.2">
      <c r="A139" s="1">
        <v>8</v>
      </c>
      <c r="B139" s="1" t="str">
        <f>D112</f>
        <v>etf s&amp;p</v>
      </c>
      <c r="C139" s="1">
        <v>75318.630951962579</v>
      </c>
      <c r="G139" s="1">
        <v>12</v>
      </c>
      <c r="H139" s="1">
        <f t="shared" si="20"/>
        <v>121810.88066102365</v>
      </c>
      <c r="I139" s="1">
        <f t="shared" si="21"/>
        <v>27432.336568301725</v>
      </c>
      <c r="J139" s="1">
        <f t="shared" si="22"/>
        <v>149243.21722932538</v>
      </c>
      <c r="L139" s="1">
        <v>15</v>
      </c>
      <c r="M139" s="1">
        <f t="shared" si="26"/>
        <v>212180</v>
      </c>
      <c r="N139" s="1">
        <f t="shared" si="27"/>
        <v>231709.64408162524</v>
      </c>
      <c r="O139" s="1">
        <f t="shared" si="28"/>
        <v>443889.64408162527</v>
      </c>
    </row>
    <row r="140" spans="1:16" ht="14.25" customHeight="1" x14ac:dyDescent="0.2">
      <c r="A140" s="1">
        <v>9</v>
      </c>
      <c r="B140" s="1" t="str">
        <f>D112</f>
        <v>etf s&amp;p</v>
      </c>
      <c r="C140" s="1">
        <v>86133.439923720725</v>
      </c>
      <c r="G140" s="1">
        <v>13</v>
      </c>
      <c r="H140" s="1">
        <f t="shared" si="20"/>
        <v>126074.26148415946</v>
      </c>
      <c r="I140" s="1">
        <f t="shared" si="21"/>
        <v>28255.306665350774</v>
      </c>
      <c r="J140" s="1">
        <f t="shared" si="22"/>
        <v>154329.56814951025</v>
      </c>
    </row>
    <row r="141" spans="1:16" ht="14.25" customHeight="1" x14ac:dyDescent="0.2">
      <c r="A141" s="1">
        <v>10</v>
      </c>
      <c r="B141" s="1" t="str">
        <f>B112</f>
        <v>ssf</v>
      </c>
      <c r="C141" s="1">
        <v>42644.415566634714</v>
      </c>
      <c r="E141" s="1">
        <f t="shared" ref="E141:E143" si="29">C141</f>
        <v>42644.415566634714</v>
      </c>
      <c r="G141" s="1">
        <v>14</v>
      </c>
      <c r="H141" s="1">
        <f t="shared" si="20"/>
        <v>130486.86063610502</v>
      </c>
      <c r="I141" s="1">
        <f t="shared" si="21"/>
        <v>29102.965865311297</v>
      </c>
      <c r="J141" s="1">
        <f t="shared" si="22"/>
        <v>159589.8265014163</v>
      </c>
    </row>
    <row r="142" spans="1:16" ht="14.25" customHeight="1" x14ac:dyDescent="0.2">
      <c r="A142" s="1">
        <v>11</v>
      </c>
      <c r="B142" s="1" t="str">
        <f>B112</f>
        <v>ssf</v>
      </c>
      <c r="C142" s="1">
        <v>90479.588183906264</v>
      </c>
      <c r="E142" s="1">
        <f t="shared" si="29"/>
        <v>90479.588183906264</v>
      </c>
      <c r="G142" s="1">
        <v>15</v>
      </c>
      <c r="H142" s="1">
        <f t="shared" si="20"/>
        <v>135053.90075836869</v>
      </c>
      <c r="I142" s="1">
        <f t="shared" si="21"/>
        <v>29976.054841270638</v>
      </c>
      <c r="J142" s="1">
        <f t="shared" si="22"/>
        <v>165029.95559963933</v>
      </c>
      <c r="L142" s="1">
        <v>15</v>
      </c>
      <c r="M142" s="1">
        <f>$E$146*B114</f>
        <v>206000</v>
      </c>
      <c r="N142" s="1">
        <f>$F$146*C114</f>
        <v>310500</v>
      </c>
      <c r="O142" s="1">
        <f>$D$146*E114</f>
        <v>90092.574950780356</v>
      </c>
      <c r="P142" s="1">
        <f>M142+N142+O142</f>
        <v>606592.57495078037</v>
      </c>
    </row>
    <row r="143" spans="1:16" ht="14.25" customHeight="1" x14ac:dyDescent="0.2">
      <c r="A143" s="1">
        <v>12</v>
      </c>
      <c r="B143" s="1" t="str">
        <f>B112</f>
        <v>ssf</v>
      </c>
      <c r="C143" s="1">
        <v>151011.34865080004</v>
      </c>
      <c r="E143" s="1">
        <f t="shared" si="29"/>
        <v>151011.34865080004</v>
      </c>
    </row>
    <row r="144" spans="1:16" ht="14.25" customHeight="1" x14ac:dyDescent="0.2">
      <c r="A144" s="1">
        <v>13</v>
      </c>
      <c r="B144" s="1" t="s">
        <v>217</v>
      </c>
      <c r="C144" s="1">
        <v>214030.70541908714</v>
      </c>
      <c r="E144" s="1">
        <v>200000</v>
      </c>
      <c r="F144" s="1">
        <f t="shared" ref="F144:F145" si="30">C144-E144</f>
        <v>14030.705419087142</v>
      </c>
    </row>
    <row r="145" spans="1:16" ht="14.25" customHeight="1" x14ac:dyDescent="0.2">
      <c r="A145" s="1">
        <v>14</v>
      </c>
      <c r="B145" s="1" t="s">
        <v>217</v>
      </c>
      <c r="C145" s="1">
        <v>416303.43212828797</v>
      </c>
      <c r="E145" s="1">
        <v>200000</v>
      </c>
      <c r="F145" s="1">
        <f t="shared" si="30"/>
        <v>216303.43212828797</v>
      </c>
    </row>
    <row r="146" spans="1:16" ht="14.25" customHeight="1" x14ac:dyDescent="0.2">
      <c r="A146" s="1">
        <v>15</v>
      </c>
      <c r="B146" s="1" t="s">
        <v>218</v>
      </c>
      <c r="C146" s="1">
        <v>587045.96613601968</v>
      </c>
      <c r="D146" s="1">
        <f>C146-SUM(E146:F146)</f>
        <v>87045.966136019677</v>
      </c>
      <c r="E146" s="1">
        <v>200000</v>
      </c>
      <c r="F146" s="1">
        <v>300000</v>
      </c>
    </row>
    <row r="147" spans="1:16" ht="14.25" customHeight="1" x14ac:dyDescent="0.2"/>
    <row r="148" spans="1:16" ht="14.25" customHeight="1" x14ac:dyDescent="0.2">
      <c r="B148" s="1">
        <v>2</v>
      </c>
      <c r="C148" s="1">
        <v>3</v>
      </c>
      <c r="D148" s="1">
        <v>4</v>
      </c>
      <c r="E148" s="1">
        <v>5</v>
      </c>
      <c r="F148" s="1">
        <v>6</v>
      </c>
      <c r="G148" s="1">
        <v>7</v>
      </c>
      <c r="H148" s="1">
        <v>8</v>
      </c>
      <c r="I148" s="1">
        <v>9</v>
      </c>
      <c r="J148" s="1">
        <v>10</v>
      </c>
      <c r="K148" s="1">
        <v>11</v>
      </c>
      <c r="L148" s="1">
        <v>12</v>
      </c>
      <c r="M148" s="1">
        <v>13</v>
      </c>
      <c r="N148" s="1">
        <v>14</v>
      </c>
      <c r="O148" s="1">
        <v>15</v>
      </c>
    </row>
    <row r="149" spans="1:16" ht="14.25" customHeight="1" x14ac:dyDescent="0.2"/>
    <row r="150" spans="1:16" ht="14.25" customHeight="1" x14ac:dyDescent="0.2">
      <c r="A150" s="1">
        <v>1</v>
      </c>
      <c r="P150" s="1">
        <v>1</v>
      </c>
    </row>
    <row r="151" spans="1:16" ht="14.25" customHeight="1" x14ac:dyDescent="0.2">
      <c r="A151" s="1">
        <v>2</v>
      </c>
      <c r="B151" s="1">
        <f t="shared" ref="B151:B164" si="31">$C$133*E114</f>
        <v>49351.201199999996</v>
      </c>
      <c r="P151" s="1">
        <v>2</v>
      </c>
    </row>
    <row r="152" spans="1:16" ht="14.25" customHeight="1" x14ac:dyDescent="0.2">
      <c r="A152" s="1">
        <v>3</v>
      </c>
      <c r="B152" s="1">
        <f t="shared" si="31"/>
        <v>51078.493241999997</v>
      </c>
      <c r="C152" s="1">
        <f t="shared" ref="C152:C164" si="32">$C$134*E114</f>
        <v>47157.642899999992</v>
      </c>
      <c r="P152" s="1">
        <v>3</v>
      </c>
    </row>
    <row r="153" spans="1:16" ht="14.25" customHeight="1" x14ac:dyDescent="0.2">
      <c r="A153" s="1">
        <v>4</v>
      </c>
      <c r="B153" s="1">
        <f t="shared" si="31"/>
        <v>52866.240505469985</v>
      </c>
      <c r="C153" s="1">
        <f t="shared" si="32"/>
        <v>48808.16040149999</v>
      </c>
      <c r="D153" s="1">
        <f t="shared" ref="D153:D164" si="33">$C$135*E114</f>
        <v>91107.201870000004</v>
      </c>
      <c r="P153" s="1">
        <v>4</v>
      </c>
    </row>
    <row r="154" spans="1:16" ht="14.25" customHeight="1" x14ac:dyDescent="0.2">
      <c r="A154" s="1">
        <v>5</v>
      </c>
      <c r="B154" s="1">
        <f t="shared" si="31"/>
        <v>54716.558923161436</v>
      </c>
      <c r="C154" s="1">
        <f t="shared" si="32"/>
        <v>50516.446015552479</v>
      </c>
      <c r="D154" s="1">
        <f t="shared" si="33"/>
        <v>94295.953935450001</v>
      </c>
      <c r="E154" s="1">
        <f t="shared" ref="E154:E164" si="34">$C$136*E114</f>
        <v>94920.610802624971</v>
      </c>
      <c r="P154" s="1">
        <v>5</v>
      </c>
    </row>
    <row r="155" spans="1:16" ht="14.25" customHeight="1" x14ac:dyDescent="0.2">
      <c r="A155" s="1">
        <v>6</v>
      </c>
      <c r="B155" s="1">
        <f t="shared" si="31"/>
        <v>56631.638485472075</v>
      </c>
      <c r="C155" s="1">
        <f t="shared" si="32"/>
        <v>52284.521626096815</v>
      </c>
      <c r="D155" s="1">
        <f t="shared" si="33"/>
        <v>97596.312323190738</v>
      </c>
      <c r="E155" s="1">
        <f t="shared" si="34"/>
        <v>98242.83218071684</v>
      </c>
      <c r="F155" s="1">
        <f t="shared" ref="F155:F164" si="35">J133</f>
        <v>122067.37990143753</v>
      </c>
      <c r="P155" s="1">
        <v>6</v>
      </c>
    </row>
    <row r="156" spans="1:16" ht="14.25" customHeight="1" x14ac:dyDescent="0.2">
      <c r="A156" s="1">
        <v>7</v>
      </c>
      <c r="B156" s="1">
        <f t="shared" si="31"/>
        <v>58613.745832463603</v>
      </c>
      <c r="C156" s="1">
        <f t="shared" si="32"/>
        <v>54114.479883010201</v>
      </c>
      <c r="D156" s="1">
        <f t="shared" si="33"/>
        <v>101012.18325450241</v>
      </c>
      <c r="E156" s="1">
        <f t="shared" si="34"/>
        <v>101681.33130704191</v>
      </c>
      <c r="F156" s="1">
        <f t="shared" si="35"/>
        <v>126224.86744798784</v>
      </c>
      <c r="G156" s="1">
        <f t="shared" ref="G156:G164" si="36">$C$138*D114</f>
        <v>59374.124269383763</v>
      </c>
      <c r="P156" s="1">
        <v>7</v>
      </c>
    </row>
    <row r="157" spans="1:16" ht="14.25" customHeight="1" x14ac:dyDescent="0.2">
      <c r="A157" s="1">
        <v>8</v>
      </c>
      <c r="B157" s="1">
        <f t="shared" si="31"/>
        <v>60665.226936599822</v>
      </c>
      <c r="C157" s="1">
        <f t="shared" si="32"/>
        <v>56008.486678915557</v>
      </c>
      <c r="D157" s="1">
        <f t="shared" si="33"/>
        <v>104547.60966840998</v>
      </c>
      <c r="E157" s="1">
        <f t="shared" si="34"/>
        <v>105240.17790278837</v>
      </c>
      <c r="F157" s="1">
        <f t="shared" si="35"/>
        <v>130524.4209361674</v>
      </c>
      <c r="G157" s="1">
        <f t="shared" si="36"/>
        <v>65014.666074975219</v>
      </c>
      <c r="H157" s="1">
        <f t="shared" ref="H157:H164" si="37">$C$139*D114</f>
        <v>82473.900892399019</v>
      </c>
      <c r="P157" s="1">
        <v>8</v>
      </c>
    </row>
    <row r="158" spans="1:16" ht="14.25" customHeight="1" x14ac:dyDescent="0.2">
      <c r="A158" s="1">
        <v>9</v>
      </c>
      <c r="B158" s="1">
        <f t="shared" si="31"/>
        <v>62788.509879380807</v>
      </c>
      <c r="C158" s="1">
        <f t="shared" si="32"/>
        <v>57968.783712677599</v>
      </c>
      <c r="D158" s="1">
        <f t="shared" si="33"/>
        <v>108206.77600680433</v>
      </c>
      <c r="E158" s="1">
        <f t="shared" si="34"/>
        <v>108923.58412938596</v>
      </c>
      <c r="F158" s="1">
        <f t="shared" si="35"/>
        <v>134970.90929025825</v>
      </c>
      <c r="G158" s="1">
        <f t="shared" si="36"/>
        <v>71191.059352097858</v>
      </c>
      <c r="H158" s="1">
        <f t="shared" si="37"/>
        <v>90308.921477176933</v>
      </c>
      <c r="I158" s="1">
        <f t="shared" ref="I158:I164" si="38">$C$140*D114</f>
        <v>94316.116716474193</v>
      </c>
      <c r="P158" s="1">
        <v>9</v>
      </c>
    </row>
    <row r="159" spans="1:16" ht="14.25" customHeight="1" x14ac:dyDescent="0.2">
      <c r="A159" s="1">
        <v>10</v>
      </c>
      <c r="B159" s="1">
        <f t="shared" si="31"/>
        <v>64986.107725159127</v>
      </c>
      <c r="C159" s="1">
        <f t="shared" si="32"/>
        <v>59997.691142621305</v>
      </c>
      <c r="D159" s="1">
        <f t="shared" si="33"/>
        <v>111994.01316704247</v>
      </c>
      <c r="E159" s="1">
        <f t="shared" si="34"/>
        <v>112735.90957391447</v>
      </c>
      <c r="F159" s="1">
        <f t="shared" si="35"/>
        <v>139569.368745382</v>
      </c>
      <c r="G159" s="1">
        <f t="shared" si="36"/>
        <v>77954.20999054717</v>
      </c>
      <c r="H159" s="1">
        <f t="shared" si="37"/>
        <v>98888.269017508734</v>
      </c>
      <c r="I159" s="1">
        <f t="shared" si="38"/>
        <v>103276.14780453924</v>
      </c>
      <c r="J159" s="1">
        <f t="shared" ref="J159:J164" si="39">$C$141*B114</f>
        <v>43923.748033633754</v>
      </c>
      <c r="P159" s="1">
        <v>10</v>
      </c>
    </row>
    <row r="160" spans="1:16" ht="14.25" customHeight="1" x14ac:dyDescent="0.2">
      <c r="A160" s="1">
        <v>11</v>
      </c>
      <c r="B160" s="1">
        <f t="shared" si="31"/>
        <v>67260.621495539686</v>
      </c>
      <c r="C160" s="1">
        <f t="shared" si="32"/>
        <v>62097.61033261304</v>
      </c>
      <c r="D160" s="1">
        <f t="shared" si="33"/>
        <v>115913.80362788893</v>
      </c>
      <c r="E160" s="1">
        <f t="shared" si="34"/>
        <v>116681.66640900147</v>
      </c>
      <c r="F160" s="1">
        <f t="shared" si="35"/>
        <v>144325.00861033407</v>
      </c>
      <c r="G160" s="1">
        <f t="shared" si="36"/>
        <v>85359.859939649148</v>
      </c>
      <c r="H160" s="1">
        <f t="shared" si="37"/>
        <v>108282.65457417208</v>
      </c>
      <c r="I160" s="1">
        <f t="shared" si="38"/>
        <v>113087.38184597046</v>
      </c>
      <c r="J160" s="1">
        <f t="shared" si="39"/>
        <v>45241.460474642765</v>
      </c>
      <c r="K160" s="1">
        <f t="shared" ref="K160:K164" si="40">$C$142*B114</f>
        <v>93193.975829423449</v>
      </c>
      <c r="P160" s="1">
        <v>11</v>
      </c>
    </row>
    <row r="161" spans="1:16" ht="14.25" customHeight="1" x14ac:dyDescent="0.2">
      <c r="A161" s="1">
        <v>12</v>
      </c>
      <c r="B161" s="1">
        <f t="shared" si="31"/>
        <v>69614.743247883584</v>
      </c>
      <c r="C161" s="1">
        <f t="shared" si="32"/>
        <v>64271.026694254491</v>
      </c>
      <c r="D161" s="1">
        <f t="shared" si="33"/>
        <v>119970.78675486502</v>
      </c>
      <c r="E161" s="1">
        <f t="shared" si="34"/>
        <v>120765.52473331649</v>
      </c>
      <c r="F161" s="1">
        <f t="shared" si="35"/>
        <v>149243.21722932538</v>
      </c>
      <c r="G161" s="1">
        <f t="shared" si="36"/>
        <v>93469.046633915816</v>
      </c>
      <c r="H161" s="1">
        <f t="shared" si="37"/>
        <v>118569.50675871842</v>
      </c>
      <c r="I161" s="1">
        <f t="shared" si="38"/>
        <v>123830.68312133767</v>
      </c>
      <c r="J161" s="1">
        <f t="shared" si="39"/>
        <v>46598.704288882051</v>
      </c>
      <c r="K161" s="1">
        <f t="shared" si="40"/>
        <v>95989.795104306148</v>
      </c>
      <c r="L161" s="1">
        <f t="shared" ref="L161:L164" si="41">$C$143*B114</f>
        <v>155541.68911032405</v>
      </c>
      <c r="P161" s="1">
        <v>12</v>
      </c>
    </row>
    <row r="162" spans="1:16" ht="14.25" customHeight="1" x14ac:dyDescent="0.2">
      <c r="A162" s="1">
        <v>13</v>
      </c>
      <c r="B162" s="1">
        <f t="shared" si="31"/>
        <v>72051.259261559506</v>
      </c>
      <c r="C162" s="1">
        <f t="shared" si="32"/>
        <v>66520.512628553406</v>
      </c>
      <c r="D162" s="1">
        <f t="shared" si="33"/>
        <v>124169.7642912853</v>
      </c>
      <c r="E162" s="1">
        <f t="shared" si="34"/>
        <v>124992.31809898255</v>
      </c>
      <c r="F162" s="1">
        <f t="shared" si="35"/>
        <v>154329.56814951025</v>
      </c>
      <c r="G162" s="1">
        <f t="shared" si="36"/>
        <v>102348.60606413781</v>
      </c>
      <c r="H162" s="1">
        <f t="shared" si="37"/>
        <v>129833.60990079667</v>
      </c>
      <c r="I162" s="1">
        <f t="shared" si="38"/>
        <v>135594.59801786474</v>
      </c>
      <c r="J162" s="1">
        <f t="shared" si="39"/>
        <v>47996.665417548509</v>
      </c>
      <c r="K162" s="1">
        <f t="shared" si="40"/>
        <v>98869.488957435344</v>
      </c>
      <c r="L162" s="1">
        <f t="shared" si="41"/>
        <v>160207.93978363374</v>
      </c>
      <c r="M162" s="1">
        <f t="shared" ref="M162:M164" si="42">O133</f>
        <v>220521.78010875519</v>
      </c>
      <c r="P162" s="1">
        <v>13</v>
      </c>
    </row>
    <row r="163" spans="1:16" ht="14.25" customHeight="1" x14ac:dyDescent="0.2">
      <c r="A163" s="1">
        <v>14</v>
      </c>
      <c r="B163" s="1">
        <f t="shared" si="31"/>
        <v>74573.053335714067</v>
      </c>
      <c r="C163" s="1">
        <f t="shared" si="32"/>
        <v>68848.730570552769</v>
      </c>
      <c r="D163" s="1">
        <f t="shared" si="33"/>
        <v>128515.7060414803</v>
      </c>
      <c r="E163" s="1">
        <f t="shared" si="34"/>
        <v>129367.04923244694</v>
      </c>
      <c r="F163" s="1">
        <f t="shared" si="35"/>
        <v>159589.8265014163</v>
      </c>
      <c r="G163" s="1">
        <f t="shared" si="36"/>
        <v>112071.72364023092</v>
      </c>
      <c r="H163" s="1">
        <f t="shared" si="37"/>
        <v>142167.80284137235</v>
      </c>
      <c r="I163" s="1">
        <f t="shared" si="38"/>
        <v>148476.08482956191</v>
      </c>
      <c r="J163" s="1">
        <f t="shared" si="39"/>
        <v>49436.565380074964</v>
      </c>
      <c r="K163" s="1">
        <f t="shared" si="40"/>
        <v>101835.5736261584</v>
      </c>
      <c r="L163" s="1">
        <f t="shared" si="41"/>
        <v>165014.17797714277</v>
      </c>
      <c r="M163" s="1">
        <f t="shared" si="42"/>
        <v>227210.04241256163</v>
      </c>
      <c r="N163" s="1">
        <f t="shared" ref="N163:N164" si="43">O138</f>
        <v>429874.05225277803</v>
      </c>
      <c r="P163" s="1">
        <v>14</v>
      </c>
    </row>
    <row r="164" spans="1:16" ht="14.25" customHeight="1" x14ac:dyDescent="0.2">
      <c r="A164" s="1">
        <v>15</v>
      </c>
      <c r="B164" s="1">
        <f t="shared" si="31"/>
        <v>77183.110202464071</v>
      </c>
      <c r="C164" s="1">
        <f t="shared" si="32"/>
        <v>71258.436140522099</v>
      </c>
      <c r="D164" s="1">
        <f t="shared" si="33"/>
        <v>133013.75575293211</v>
      </c>
      <c r="E164" s="1">
        <f t="shared" si="34"/>
        <v>133894.89595558259</v>
      </c>
      <c r="F164" s="1">
        <f t="shared" si="35"/>
        <v>165029.95559963933</v>
      </c>
      <c r="G164" s="1">
        <f t="shared" si="36"/>
        <v>122718.53738605283</v>
      </c>
      <c r="H164" s="1">
        <f t="shared" si="37"/>
        <v>155673.74411130272</v>
      </c>
      <c r="I164" s="1">
        <f t="shared" si="38"/>
        <v>162581.31288837027</v>
      </c>
      <c r="J164" s="1">
        <f t="shared" si="39"/>
        <v>50919.662341477211</v>
      </c>
      <c r="K164" s="1">
        <f t="shared" si="40"/>
        <v>104890.64083494314</v>
      </c>
      <c r="L164" s="1">
        <f t="shared" si="41"/>
        <v>169964.60331645704</v>
      </c>
      <c r="M164" s="1">
        <f t="shared" si="42"/>
        <v>234101.49389700126</v>
      </c>
      <c r="N164" s="1">
        <f t="shared" si="43"/>
        <v>443889.64408162527</v>
      </c>
      <c r="O164" s="1">
        <f>P142</f>
        <v>606592.57495078037</v>
      </c>
      <c r="P164" s="1">
        <v>15</v>
      </c>
    </row>
    <row r="165" spans="1:16" ht="14.25" customHeight="1" x14ac:dyDescent="0.2"/>
    <row r="166" spans="1:16" ht="14.25" customHeight="1" x14ac:dyDescent="0.2"/>
    <row r="167" spans="1:16" ht="14.25" customHeight="1" x14ac:dyDescent="0.2"/>
    <row r="168" spans="1:16" ht="36" customHeight="1" x14ac:dyDescent="0.2">
      <c r="B168" s="81" t="s">
        <v>193</v>
      </c>
      <c r="C168" s="71" t="s">
        <v>194</v>
      </c>
      <c r="E168" s="81" t="s">
        <v>195</v>
      </c>
      <c r="F168" s="82" t="s">
        <v>196</v>
      </c>
    </row>
    <row r="169" spans="1:16" ht="36" customHeight="1" x14ac:dyDescent="0.2">
      <c r="B169" s="81" t="s">
        <v>197</v>
      </c>
      <c r="C169" s="83">
        <v>1094000</v>
      </c>
      <c r="E169" s="81" t="s">
        <v>198</v>
      </c>
      <c r="F169" s="83">
        <v>4390000</v>
      </c>
    </row>
    <row r="170" spans="1:16" ht="36" customHeight="1" x14ac:dyDescent="0.2">
      <c r="B170" s="81" t="s">
        <v>199</v>
      </c>
      <c r="C170" s="84" t="s">
        <v>200</v>
      </c>
      <c r="E170" s="81" t="s">
        <v>199</v>
      </c>
      <c r="F170" s="84" t="s">
        <v>201</v>
      </c>
    </row>
    <row r="171" spans="1:16" ht="36" customHeight="1" x14ac:dyDescent="0.2">
      <c r="B171" s="81" t="s">
        <v>202</v>
      </c>
      <c r="C171" s="83">
        <v>820500</v>
      </c>
      <c r="E171" s="81" t="s">
        <v>202</v>
      </c>
      <c r="F171" s="85">
        <f>F169-F177</f>
        <v>4390000</v>
      </c>
    </row>
    <row r="172" spans="1:16" ht="36" customHeight="1" x14ac:dyDescent="0.2">
      <c r="B172" s="81" t="s">
        <v>203</v>
      </c>
      <c r="C172" s="86">
        <v>4.0500000000000001E-2</v>
      </c>
      <c r="E172" s="81" t="s">
        <v>203</v>
      </c>
      <c r="F172" s="84">
        <v>0.03</v>
      </c>
    </row>
    <row r="173" spans="1:16" ht="36" customHeight="1" x14ac:dyDescent="0.2">
      <c r="B173" s="81" t="s">
        <v>204</v>
      </c>
      <c r="C173" s="82" t="s">
        <v>205</v>
      </c>
      <c r="E173" s="81" t="s">
        <v>204</v>
      </c>
      <c r="F173" s="82" t="s">
        <v>206</v>
      </c>
    </row>
    <row r="174" spans="1:16" ht="36" customHeight="1" x14ac:dyDescent="0.2">
      <c r="B174" s="81" t="s">
        <v>207</v>
      </c>
      <c r="C174" s="83">
        <v>12537</v>
      </c>
      <c r="E174" s="81" t="s">
        <v>208</v>
      </c>
      <c r="F174" s="87">
        <f>PMT(F172/12,360,-3512000,0,0)</f>
        <v>14806.7336645783</v>
      </c>
    </row>
    <row r="175" spans="1:16" ht="36" customHeight="1" x14ac:dyDescent="0.2">
      <c r="B175" s="81" t="s">
        <v>209</v>
      </c>
      <c r="C175" s="83">
        <f>C174*12</f>
        <v>150444</v>
      </c>
      <c r="E175" s="81" t="s">
        <v>209</v>
      </c>
      <c r="F175" s="82">
        <f>F174*12</f>
        <v>177680.8039749396</v>
      </c>
    </row>
    <row r="176" spans="1:16" ht="20.2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375" customWidth="1"/>
    <col min="3" max="3" width="13.625" customWidth="1"/>
    <col min="4" max="4" width="19" customWidth="1"/>
    <col min="5" max="5" width="17.375" customWidth="1"/>
    <col min="6" max="6" width="20.125" customWidth="1"/>
    <col min="7" max="7" width="21.375" customWidth="1"/>
    <col min="8" max="8" width="60.25" customWidth="1"/>
    <col min="9" max="9" width="46.375" customWidth="1"/>
    <col min="10" max="10" width="8.75" customWidth="1"/>
    <col min="11" max="11" width="41.375" customWidth="1"/>
    <col min="12" max="12" width="26.375" customWidth="1"/>
    <col min="13" max="13" width="8.75" customWidth="1"/>
    <col min="14" max="14" width="60.25" customWidth="1"/>
    <col min="15" max="15" width="38.75" customWidth="1"/>
    <col min="16" max="16" width="8.75" customWidth="1"/>
    <col min="17" max="26" width="14.375" customWidth="1"/>
  </cols>
  <sheetData>
    <row r="1" spans="1:12" ht="26.25" customHeight="1" x14ac:dyDescent="0.2">
      <c r="A1" s="27" t="s">
        <v>219</v>
      </c>
      <c r="B1" s="27" t="s">
        <v>220</v>
      </c>
      <c r="C1" s="27" t="s">
        <v>221</v>
      </c>
      <c r="D1" s="27" t="s">
        <v>222</v>
      </c>
      <c r="E1" s="27" t="s">
        <v>138</v>
      </c>
      <c r="F1" s="27" t="s">
        <v>223</v>
      </c>
    </row>
    <row r="2" spans="1:12" ht="26.25" customHeight="1" x14ac:dyDescent="0.2">
      <c r="A2" s="39">
        <f>DATA!B31</f>
        <v>1</v>
      </c>
      <c r="B2" s="11">
        <f>DATA!E31</f>
        <v>31000</v>
      </c>
      <c r="C2" s="11">
        <f>DATA!F31</f>
        <v>372000</v>
      </c>
      <c r="D2" s="11">
        <f>DATA!G31</f>
        <v>123600</v>
      </c>
      <c r="E2" s="11">
        <f>DATA!H31</f>
        <v>495600</v>
      </c>
      <c r="F2" s="11">
        <f>DATA!I31</f>
        <v>41300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F10</f>
        <v>89976</v>
      </c>
      <c r="K4" s="19" t="s">
        <v>227</v>
      </c>
      <c r="L4" s="61">
        <f>DATA!G3</f>
        <v>5760</v>
      </c>
    </row>
    <row r="5" spans="1:12" ht="14.25" customHeight="1" x14ac:dyDescent="0.2">
      <c r="H5" s="19" t="s">
        <v>228</v>
      </c>
      <c r="I5" s="19" t="s">
        <v>157</v>
      </c>
      <c r="K5" s="19"/>
      <c r="L5" s="19"/>
    </row>
    <row r="6" spans="1:12" ht="14.25" customHeight="1" x14ac:dyDescent="0.2"/>
    <row r="7" spans="1:12" ht="14.25" customHeight="1" x14ac:dyDescent="0.2">
      <c r="H7" s="19"/>
      <c r="I7" s="19" t="s">
        <v>229</v>
      </c>
      <c r="K7" s="14" t="s">
        <v>230</v>
      </c>
      <c r="L7" s="25">
        <f>SUM(L4:L5)</f>
        <v>5760</v>
      </c>
    </row>
    <row r="8" spans="1:12" ht="14.25" customHeight="1" x14ac:dyDescent="0.2">
      <c r="C8" s="39">
        <v>10</v>
      </c>
      <c r="H8" s="19" t="s">
        <v>231</v>
      </c>
      <c r="I8" s="19"/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  <c r="K9" s="19"/>
      <c r="L9" s="19" t="s">
        <v>234</v>
      </c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89976</v>
      </c>
      <c r="K10" s="19" t="s">
        <v>227</v>
      </c>
      <c r="L10" s="61">
        <f>DATA!G18-DATA!G3</f>
        <v>413856.00000000006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/>
      <c r="L11" s="19"/>
    </row>
    <row r="12" spans="1:12" ht="14.25" customHeight="1" x14ac:dyDescent="0.2">
      <c r="A12" s="1" t="s">
        <v>238</v>
      </c>
      <c r="B12" s="1">
        <v>2688</v>
      </c>
      <c r="C12" s="1">
        <f t="shared" si="0"/>
        <v>32256</v>
      </c>
      <c r="H12" s="19" t="s">
        <v>239</v>
      </c>
      <c r="I12" s="19"/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4" t="s">
        <v>242</v>
      </c>
      <c r="L13" s="25">
        <f>SUM(L10:L11)</f>
        <v>413856.00000000006</v>
      </c>
    </row>
    <row r="14" spans="1:12" ht="14.25" customHeight="1" x14ac:dyDescent="0.2">
      <c r="H14" s="19" t="s">
        <v>243</v>
      </c>
      <c r="I14" s="19"/>
    </row>
    <row r="15" spans="1:12" ht="14.25" customHeight="1" x14ac:dyDescent="0.2">
      <c r="A15" s="1" t="s">
        <v>45</v>
      </c>
      <c r="B15" s="1">
        <f>DATA!E55</f>
        <v>750</v>
      </c>
      <c r="C15" s="1">
        <f>B15*C9</f>
        <v>9000</v>
      </c>
      <c r="H15" s="19" t="s">
        <v>244</v>
      </c>
      <c r="I15" s="19"/>
    </row>
    <row r="16" spans="1:12" ht="14.25" customHeight="1" x14ac:dyDescent="0.2"/>
    <row r="17" spans="1:16" ht="14.25" customHeight="1" x14ac:dyDescent="0.2">
      <c r="A17" s="1" t="s">
        <v>227</v>
      </c>
      <c r="B17" s="1">
        <f>C17/C9</f>
        <v>480</v>
      </c>
      <c r="C17" s="88">
        <f>L7</f>
        <v>5760</v>
      </c>
      <c r="H17" s="19"/>
      <c r="I17" s="19" t="s">
        <v>245</v>
      </c>
    </row>
    <row r="18" spans="1:16" ht="14.25" customHeight="1" x14ac:dyDescent="0.2">
      <c r="H18" s="19" t="s">
        <v>246</v>
      </c>
      <c r="I18" s="19"/>
    </row>
    <row r="19" spans="1:16" ht="14.25" customHeight="1" x14ac:dyDescent="0.2">
      <c r="A19" s="1" t="s">
        <v>247</v>
      </c>
      <c r="B19" s="1">
        <v>2000</v>
      </c>
      <c r="C19" s="1">
        <f t="shared" ref="C19:C20" si="1">B19*$C$9</f>
        <v>24000</v>
      </c>
    </row>
    <row r="20" spans="1:16" ht="14.25" customHeight="1" x14ac:dyDescent="0.2">
      <c r="A20" s="1" t="s">
        <v>248</v>
      </c>
      <c r="B20" s="1">
        <v>7000</v>
      </c>
      <c r="C20" s="1">
        <f t="shared" si="1"/>
        <v>84000</v>
      </c>
      <c r="E20" s="80" t="s">
        <v>33</v>
      </c>
      <c r="F20" s="11">
        <f>I21-L21</f>
        <v>-329640.00000000006</v>
      </c>
    </row>
    <row r="21" spans="1:16" ht="14.25" customHeight="1" x14ac:dyDescent="0.2">
      <c r="A21" s="1" t="s">
        <v>249</v>
      </c>
      <c r="B21" s="1">
        <v>4000</v>
      </c>
      <c r="C21" s="1">
        <f t="shared" ref="C21:C22" si="2">B21*C8</f>
        <v>40000</v>
      </c>
      <c r="H21" s="89" t="str">
        <f>A30</f>
        <v>สินทรัพย์สภาพคล่อง</v>
      </c>
      <c r="I21" s="90">
        <f>SUM(I4:I5)+SUM(I8:I9)+SUM(I12:I15)+SUM(I18)</f>
        <v>89976</v>
      </c>
      <c r="K21" s="41" t="s">
        <v>94</v>
      </c>
      <c r="L21" s="35">
        <f>L7+L13</f>
        <v>419616.00000000006</v>
      </c>
    </row>
    <row r="22" spans="1:16" ht="14.25" customHeight="1" x14ac:dyDescent="0.2">
      <c r="A22" s="1" t="s">
        <v>250</v>
      </c>
      <c r="B22" s="1">
        <v>2350</v>
      </c>
      <c r="C22" s="1">
        <f t="shared" si="2"/>
        <v>28200</v>
      </c>
    </row>
    <row r="23" spans="1:16" ht="14.25" customHeight="1" x14ac:dyDescent="0.2"/>
    <row r="24" spans="1:16" ht="14.25" customHeight="1" x14ac:dyDescent="0.2"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</row>
    <row r="25" spans="1:16" ht="14.25" customHeight="1" x14ac:dyDescent="0.2">
      <c r="A25" s="1" t="s">
        <v>251</v>
      </c>
      <c r="C25" s="7">
        <f>E101</f>
        <v>10160</v>
      </c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</row>
    <row r="26" spans="1:16" ht="14.25" customHeight="1" x14ac:dyDescent="0.2">
      <c r="B26" s="19" t="s">
        <v>252</v>
      </c>
      <c r="C26" s="37">
        <f>SUM(C10:C25)</f>
        <v>405624</v>
      </c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</row>
    <row r="27" spans="1:16" ht="14.25" customHeight="1" x14ac:dyDescent="0.2">
      <c r="B27" s="19" t="s">
        <v>64</v>
      </c>
      <c r="C27" s="37">
        <f>C26/C9</f>
        <v>33802</v>
      </c>
    </row>
    <row r="28" spans="1:16" ht="14.25" customHeight="1" x14ac:dyDescent="0.2">
      <c r="A28" s="80"/>
      <c r="B28" s="80" t="s">
        <v>8</v>
      </c>
      <c r="C28" s="80"/>
      <c r="E28" s="27" t="s">
        <v>136</v>
      </c>
      <c r="F28" s="1" t="s">
        <v>215</v>
      </c>
      <c r="H28" s="91"/>
      <c r="I28" s="91"/>
    </row>
    <row r="29" spans="1:16" ht="14.25" customHeight="1" x14ac:dyDescent="0.2">
      <c r="A29" s="80"/>
      <c r="B29" s="80" t="s">
        <v>19</v>
      </c>
      <c r="C29" s="80"/>
      <c r="E29" s="11">
        <f>F10</f>
        <v>89976</v>
      </c>
      <c r="F29" s="1">
        <v>0</v>
      </c>
      <c r="H29" s="92"/>
      <c r="I29" s="93"/>
      <c r="J29" s="6"/>
    </row>
    <row r="30" spans="1:16" ht="14.25" customHeight="1" x14ac:dyDescent="0.2">
      <c r="A30" s="80" t="s">
        <v>4</v>
      </c>
      <c r="B30" s="80">
        <f>I21</f>
        <v>89976</v>
      </c>
      <c r="C30" s="80"/>
      <c r="H30" s="92"/>
      <c r="I30" s="93"/>
      <c r="J30" s="6"/>
    </row>
    <row r="31" spans="1:16" ht="14.25" customHeight="1" x14ac:dyDescent="0.2">
      <c r="A31" s="80" t="s">
        <v>32</v>
      </c>
      <c r="B31" s="80">
        <f>L7</f>
        <v>5760</v>
      </c>
      <c r="C31" s="80"/>
      <c r="H31" s="92"/>
      <c r="I31" s="93"/>
      <c r="J31" s="6"/>
    </row>
    <row r="32" spans="1:16" ht="14.25" customHeight="1" x14ac:dyDescent="0.2">
      <c r="A32" s="80"/>
      <c r="B32" s="94">
        <f>B30/B31</f>
        <v>15.620833333333334</v>
      </c>
      <c r="C32" s="80" t="s">
        <v>38</v>
      </c>
      <c r="H32" s="92"/>
      <c r="I32" s="93"/>
      <c r="J32" s="6"/>
    </row>
    <row r="33" spans="1:11" ht="14.25" customHeight="1" x14ac:dyDescent="0.2">
      <c r="A33" s="80"/>
      <c r="B33" s="80"/>
      <c r="C33" s="80"/>
      <c r="D33" s="80"/>
      <c r="E33" s="80"/>
      <c r="F33" s="80"/>
      <c r="G33" s="80"/>
      <c r="H33" s="92"/>
      <c r="I33" s="93"/>
    </row>
    <row r="34" spans="1:11" ht="14.25" customHeight="1" x14ac:dyDescent="0.2">
      <c r="A34" s="80"/>
      <c r="B34" s="80" t="s">
        <v>48</v>
      </c>
      <c r="C34" s="80"/>
      <c r="H34" s="95"/>
      <c r="I34" s="93"/>
      <c r="J34" s="6"/>
    </row>
    <row r="35" spans="1:11" ht="14.25" customHeight="1" x14ac:dyDescent="0.2">
      <c r="A35" s="80"/>
      <c r="B35" s="80" t="s">
        <v>54</v>
      </c>
      <c r="C35" s="80"/>
      <c r="I35" s="80"/>
    </row>
    <row r="36" spans="1:11" ht="14.25" customHeight="1" x14ac:dyDescent="0.2">
      <c r="A36" s="80" t="s">
        <v>4</v>
      </c>
      <c r="B36" s="80">
        <f>B30</f>
        <v>89976</v>
      </c>
      <c r="C36" s="80"/>
      <c r="I36" s="80"/>
    </row>
    <row r="37" spans="1:11" ht="14.25" customHeight="1" x14ac:dyDescent="0.2">
      <c r="A37" s="80" t="s">
        <v>60</v>
      </c>
      <c r="B37" s="80">
        <f>C27</f>
        <v>33802</v>
      </c>
      <c r="C37" s="80"/>
      <c r="I37" s="80"/>
    </row>
    <row r="38" spans="1:11" ht="14.25" customHeight="1" x14ac:dyDescent="0.2">
      <c r="A38" s="80"/>
      <c r="B38" s="94">
        <f>B36/B37</f>
        <v>2.6618543281462634</v>
      </c>
      <c r="C38" s="80" t="s">
        <v>38</v>
      </c>
      <c r="I38" s="80"/>
    </row>
    <row r="39" spans="1:11" ht="14.25" customHeight="1" x14ac:dyDescent="0.2">
      <c r="I39" s="80"/>
      <c r="J39" s="80"/>
      <c r="K39" s="80"/>
    </row>
    <row r="40" spans="1:11" ht="14.25" customHeight="1" x14ac:dyDescent="0.2">
      <c r="A40" s="80"/>
      <c r="B40" s="80" t="s">
        <v>68</v>
      </c>
      <c r="I40" s="80"/>
      <c r="J40" s="80"/>
      <c r="K40" s="80"/>
    </row>
    <row r="41" spans="1:11" ht="14.25" customHeight="1" x14ac:dyDescent="0.2">
      <c r="A41" s="80"/>
      <c r="B41" s="80" t="s">
        <v>71</v>
      </c>
      <c r="I41" s="80"/>
      <c r="J41" s="80"/>
      <c r="K41" s="80"/>
    </row>
    <row r="42" spans="1:11" ht="14.25" customHeight="1" x14ac:dyDescent="0.2">
      <c r="A42" s="80" t="s">
        <v>4</v>
      </c>
      <c r="B42" s="80">
        <f>I21</f>
        <v>89976</v>
      </c>
      <c r="I42" s="80"/>
      <c r="J42" s="80"/>
      <c r="K42" s="80"/>
    </row>
    <row r="43" spans="1:11" ht="14.25" customHeight="1" x14ac:dyDescent="0.2">
      <c r="A43" s="80" t="s">
        <v>33</v>
      </c>
      <c r="B43" s="80">
        <f>F20</f>
        <v>-329640.00000000006</v>
      </c>
      <c r="I43" s="80"/>
      <c r="J43" s="80"/>
      <c r="K43" s="80"/>
    </row>
    <row r="44" spans="1:11" ht="14.25" customHeight="1" x14ac:dyDescent="0.2">
      <c r="A44" s="80"/>
      <c r="B44" s="77">
        <f>B42/B43</f>
        <v>-0.27295231161266831</v>
      </c>
      <c r="I44" s="80"/>
      <c r="J44" s="80"/>
      <c r="K44" s="80"/>
    </row>
    <row r="45" spans="1:11" ht="14.25" customHeight="1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</row>
    <row r="46" spans="1:11" ht="14.25" customHeight="1" x14ac:dyDescent="0.2">
      <c r="A46" s="80"/>
      <c r="B46" s="80" t="s">
        <v>253</v>
      </c>
      <c r="C46" s="80"/>
      <c r="D46" s="80"/>
      <c r="E46" s="80"/>
      <c r="F46" s="80"/>
      <c r="G46" s="80"/>
      <c r="H46" s="80"/>
      <c r="I46" s="80"/>
      <c r="J46" s="80"/>
      <c r="K46" s="80"/>
    </row>
    <row r="47" spans="1:11" ht="14.25" customHeight="1" x14ac:dyDescent="0.2">
      <c r="A47" s="80"/>
      <c r="B47" s="80" t="s">
        <v>92</v>
      </c>
      <c r="C47" s="80"/>
    </row>
    <row r="48" spans="1:11" ht="14.25" customHeight="1" x14ac:dyDescent="0.2">
      <c r="A48" s="80" t="s">
        <v>94</v>
      </c>
      <c r="B48" s="80">
        <f>L21</f>
        <v>419616.00000000006</v>
      </c>
      <c r="C48" s="80"/>
    </row>
    <row r="49" spans="1:8" ht="14.25" customHeight="1" x14ac:dyDescent="0.2">
      <c r="A49" s="80" t="s">
        <v>39</v>
      </c>
      <c r="B49" s="80">
        <f>I21</f>
        <v>89976</v>
      </c>
      <c r="C49" s="80"/>
    </row>
    <row r="50" spans="1:8" ht="14.25" customHeight="1" x14ac:dyDescent="0.2">
      <c r="A50" s="80"/>
      <c r="B50" s="77">
        <f>B48/B49</f>
        <v>4.6636436383035482</v>
      </c>
      <c r="C50" s="80"/>
    </row>
    <row r="51" spans="1:8" ht="14.25" customHeight="1" x14ac:dyDescent="0.2">
      <c r="A51" s="80"/>
      <c r="B51" s="80"/>
      <c r="C51" s="80"/>
    </row>
    <row r="52" spans="1:8" ht="14.25" customHeight="1" x14ac:dyDescent="0.2">
      <c r="A52" s="80"/>
      <c r="B52" s="80" t="s">
        <v>21</v>
      </c>
      <c r="C52" s="80"/>
    </row>
    <row r="53" spans="1:8" ht="14.25" customHeight="1" x14ac:dyDescent="0.2">
      <c r="A53" s="80"/>
      <c r="B53" s="80" t="s">
        <v>27</v>
      </c>
      <c r="C53" s="80"/>
    </row>
    <row r="54" spans="1:8" ht="14.25" customHeight="1" x14ac:dyDescent="0.2">
      <c r="A54" s="80" t="s">
        <v>33</v>
      </c>
      <c r="B54" s="80">
        <f>B43</f>
        <v>-329640.00000000006</v>
      </c>
      <c r="C54" s="80"/>
      <c r="D54" s="80"/>
      <c r="E54" s="80"/>
      <c r="F54" s="80"/>
    </row>
    <row r="55" spans="1:8" ht="14.25" customHeight="1" x14ac:dyDescent="0.2">
      <c r="A55" s="80" t="s">
        <v>39</v>
      </c>
      <c r="B55" s="80">
        <f>B49</f>
        <v>89976</v>
      </c>
      <c r="C55" s="80"/>
    </row>
    <row r="56" spans="1:8" ht="14.25" customHeight="1" x14ac:dyDescent="0.2">
      <c r="A56" s="80"/>
      <c r="B56" s="77">
        <f>B54/B55</f>
        <v>-3.6636436383035482</v>
      </c>
      <c r="C56" s="80"/>
    </row>
    <row r="57" spans="1:8" ht="14.25" customHeight="1" x14ac:dyDescent="0.2"/>
    <row r="58" spans="1:8" ht="14.25" customHeight="1" x14ac:dyDescent="0.2">
      <c r="A58" s="80"/>
      <c r="B58" s="80" t="s">
        <v>254</v>
      </c>
      <c r="G58" s="80"/>
      <c r="H58" s="80"/>
    </row>
    <row r="59" spans="1:8" ht="14.25" customHeight="1" x14ac:dyDescent="0.2">
      <c r="A59" s="80"/>
      <c r="B59" s="80" t="s">
        <v>104</v>
      </c>
      <c r="G59" s="80"/>
      <c r="H59" s="80"/>
    </row>
    <row r="60" spans="1:8" ht="14.25" customHeight="1" x14ac:dyDescent="0.2">
      <c r="A60" s="80" t="s">
        <v>106</v>
      </c>
      <c r="B60" s="80">
        <f>L7</f>
        <v>5760</v>
      </c>
    </row>
    <row r="61" spans="1:8" ht="14.25" customHeight="1" x14ac:dyDescent="0.2">
      <c r="A61" s="80" t="s">
        <v>107</v>
      </c>
      <c r="B61" s="80">
        <f>E2</f>
        <v>495600</v>
      </c>
      <c r="F61" s="80"/>
    </row>
    <row r="62" spans="1:8" ht="14.25" customHeight="1" x14ac:dyDescent="0.2">
      <c r="A62" s="80"/>
      <c r="B62" s="32">
        <f>B60/B61</f>
        <v>1.1622276029055689E-2</v>
      </c>
      <c r="F62" s="80"/>
    </row>
    <row r="63" spans="1:8" ht="14.25" customHeight="1" x14ac:dyDescent="0.2">
      <c r="F63" s="80"/>
    </row>
    <row r="64" spans="1:8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3">B60/12</f>
        <v>480</v>
      </c>
    </row>
    <row r="67" spans="1:6" ht="14.25" customHeight="1" x14ac:dyDescent="0.2">
      <c r="A67" s="80" t="s">
        <v>258</v>
      </c>
      <c r="B67" s="80">
        <f t="shared" si="3"/>
        <v>41300</v>
      </c>
    </row>
    <row r="68" spans="1:6" ht="14.25" customHeight="1" x14ac:dyDescent="0.2">
      <c r="A68" s="80"/>
      <c r="B68" s="32">
        <f>B66/B67</f>
        <v>1.1622276029055689E-2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E29</f>
        <v>89976</v>
      </c>
    </row>
    <row r="73" spans="1:6" ht="14.25" customHeight="1" x14ac:dyDescent="0.2">
      <c r="A73" s="80" t="s">
        <v>138</v>
      </c>
      <c r="B73" s="80">
        <f>E2</f>
        <v>495600</v>
      </c>
    </row>
    <row r="74" spans="1:6" ht="14.25" customHeight="1" x14ac:dyDescent="0.2">
      <c r="A74" s="80"/>
      <c r="B74" s="77">
        <f>B72/B73</f>
        <v>0.18154963680387409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F29</f>
        <v>0</v>
      </c>
      <c r="C78" s="80"/>
    </row>
    <row r="79" spans="1:6" ht="14.25" customHeight="1" x14ac:dyDescent="0.2">
      <c r="A79" s="80" t="s">
        <v>33</v>
      </c>
      <c r="B79" s="80">
        <f>B43</f>
        <v>-329640.00000000006</v>
      </c>
      <c r="C79" s="80"/>
    </row>
    <row r="80" spans="1:6" ht="14.25" customHeight="1" x14ac:dyDescent="0.2">
      <c r="A80" s="80"/>
      <c r="B80" s="77">
        <f>B78/B79</f>
        <v>0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A91-B107</f>
        <v>326600</v>
      </c>
    </row>
    <row r="91" spans="1:5" ht="14.25" customHeight="1" x14ac:dyDescent="0.2">
      <c r="A91" s="96">
        <f>E2</f>
        <v>495600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4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4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26600</v>
      </c>
      <c r="D95" s="24">
        <v>0.1</v>
      </c>
      <c r="E95" s="25">
        <f t="shared" si="4"/>
        <v>2660</v>
      </c>
    </row>
    <row r="96" spans="1:5" ht="14.25" customHeight="1" x14ac:dyDescent="0.2">
      <c r="B96" s="22" t="s">
        <v>52</v>
      </c>
      <c r="C96" s="23">
        <f>IF((A90-C93-C94-C95)&gt;=250000,250000,(A90-C93-C94-C95))</f>
        <v>0</v>
      </c>
      <c r="D96" s="24">
        <v>0.15</v>
      </c>
      <c r="E96" s="25">
        <f t="shared" si="4"/>
        <v>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4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4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4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4"/>
        <v>0</v>
      </c>
    </row>
    <row r="101" spans="1:5" ht="14.25" customHeight="1" x14ac:dyDescent="0.35">
      <c r="E101" s="97">
        <f>SUM(E93:E100)</f>
        <v>10160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B107" s="45">
        <f>SUM(B104:B106)</f>
        <v>169000</v>
      </c>
    </row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284" priority="1" operator="greaterThan">
      <formula>0.9999999999</formula>
    </cfRule>
    <cfRule type="cellIs" dxfId="283" priority="2" operator="lessThan">
      <formula>1</formula>
    </cfRule>
  </conditionalFormatting>
  <conditionalFormatting sqref="B38">
    <cfRule type="cellIs" dxfId="282" priority="3" operator="greaterThan">
      <formula>5.9999</formula>
    </cfRule>
    <cfRule type="cellIs" dxfId="281" priority="4" operator="lessThan">
      <formula>3</formula>
    </cfRule>
  </conditionalFormatting>
  <conditionalFormatting sqref="B44">
    <cfRule type="cellIs" dxfId="280" priority="5" operator="greaterThan">
      <formula>0.29</formula>
    </cfRule>
    <cfRule type="cellIs" dxfId="279" priority="6" operator="lessThan">
      <formula>0.05</formula>
    </cfRule>
    <cfRule type="cellIs" dxfId="278" priority="7" operator="greaterThan">
      <formula>0.049</formula>
    </cfRule>
  </conditionalFormatting>
  <conditionalFormatting sqref="B50">
    <cfRule type="cellIs" dxfId="277" priority="8" operator="greaterThan">
      <formula>0.49</formula>
    </cfRule>
    <cfRule type="cellIs" dxfId="276" priority="9" operator="lessThan">
      <formula>0.41</formula>
    </cfRule>
  </conditionalFormatting>
  <conditionalFormatting sqref="B56">
    <cfRule type="cellIs" dxfId="275" priority="10" operator="lessThan">
      <formula>0.41</formula>
    </cfRule>
    <cfRule type="cellIs" dxfId="274" priority="11" operator="greaterThan">
      <formula>0.59</formula>
    </cfRule>
  </conditionalFormatting>
  <conditionalFormatting sqref="B62">
    <cfRule type="cellIs" dxfId="273" priority="12" operator="greaterThan">
      <formula>0.39</formula>
    </cfRule>
    <cfRule type="cellIs" dxfId="272" priority="13" operator="lessThan">
      <formula>0.281</formula>
    </cfRule>
  </conditionalFormatting>
  <conditionalFormatting sqref="B68">
    <cfRule type="cellIs" dxfId="271" priority="14" operator="greaterThan">
      <formula>0.39</formula>
    </cfRule>
    <cfRule type="cellIs" dxfId="270" priority="15" operator="lessThan">
      <formula>0.281</formula>
    </cfRule>
  </conditionalFormatting>
  <conditionalFormatting sqref="B74">
    <cfRule type="cellIs" dxfId="269" priority="16" operator="lessThan">
      <formula>0.1</formula>
    </cfRule>
    <cfRule type="cellIs" dxfId="268" priority="17" operator="greaterThan">
      <formula>0.19</formula>
    </cfRule>
  </conditionalFormatting>
  <conditionalFormatting sqref="B80">
    <cfRule type="cellIs" dxfId="267" priority="18" operator="lessThan">
      <formula>0.3</formula>
    </cfRule>
    <cfRule type="cellIs" dxfId="266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27.75" customWidth="1"/>
    <col min="3" max="3" width="13.75" customWidth="1"/>
    <col min="4" max="4" width="19.125" customWidth="1"/>
    <col min="5" max="5" width="17.375" customWidth="1"/>
    <col min="6" max="6" width="18.375" customWidth="1"/>
    <col min="7" max="7" width="12" customWidth="1"/>
    <col min="8" max="8" width="60.25" customWidth="1"/>
    <col min="9" max="9" width="46.375" customWidth="1"/>
    <col min="10" max="10" width="8.75" customWidth="1"/>
    <col min="11" max="11" width="17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39">
        <f>DATA!B32</f>
        <v>2</v>
      </c>
      <c r="B2" s="11">
        <f>DATA!E32</f>
        <v>32550</v>
      </c>
      <c r="C2" s="11">
        <f>DATA!F32</f>
        <v>390600</v>
      </c>
      <c r="D2" s="11">
        <f>DATA!G32</f>
        <v>129780</v>
      </c>
      <c r="E2" s="11">
        <f>DATA!H32</f>
        <v>520380</v>
      </c>
      <c r="F2" s="11">
        <f>DATA!I32</f>
        <v>43365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'1'!I4+F10</f>
        <v>328387.59999999998</v>
      </c>
      <c r="K4" s="19" t="s">
        <v>227</v>
      </c>
      <c r="L4" s="61">
        <f>DATA!G4</f>
        <v>13382.4</v>
      </c>
    </row>
    <row r="5" spans="1:12" ht="14.25" customHeight="1" x14ac:dyDescent="0.2">
      <c r="H5" s="19" t="s">
        <v>228</v>
      </c>
      <c r="I5" s="19" t="s">
        <v>157</v>
      </c>
      <c r="K5" s="19"/>
      <c r="L5" s="19"/>
    </row>
    <row r="6" spans="1:12" ht="14.25" customHeight="1" x14ac:dyDescent="0.2"/>
    <row r="7" spans="1:12" ht="14.25" customHeight="1" x14ac:dyDescent="0.2">
      <c r="H7" s="19"/>
      <c r="I7" s="19" t="s">
        <v>229</v>
      </c>
      <c r="K7" s="14" t="s">
        <v>230</v>
      </c>
      <c r="L7" s="25">
        <f>SUM(L4:L5)</f>
        <v>13382.4</v>
      </c>
    </row>
    <row r="8" spans="1:12" ht="14.25" customHeight="1" x14ac:dyDescent="0.2">
      <c r="C8" s="39">
        <v>10</v>
      </c>
      <c r="H8" s="19" t="s">
        <v>231</v>
      </c>
      <c r="I8" s="19"/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  <c r="K9" s="19"/>
      <c r="L9" s="19" t="s">
        <v>234</v>
      </c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238411.59999999998</v>
      </c>
      <c r="K10" s="19" t="s">
        <v>227</v>
      </c>
      <c r="L10" s="61">
        <f>DATA!G18-SUM(DATA!G3:G4)</f>
        <v>400473.60000000003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/>
      <c r="L11" s="19"/>
    </row>
    <row r="12" spans="1:12" ht="14.25" customHeight="1" x14ac:dyDescent="0.2">
      <c r="A12" s="1" t="s">
        <v>238</v>
      </c>
      <c r="B12" s="1">
        <v>1750</v>
      </c>
      <c r="C12" s="1">
        <f t="shared" si="0"/>
        <v>21000</v>
      </c>
      <c r="H12" s="19" t="s">
        <v>239</v>
      </c>
      <c r="I12" s="19"/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4" t="s">
        <v>242</v>
      </c>
      <c r="L13" s="25">
        <f>SUM(L10:L11)</f>
        <v>400473.60000000003</v>
      </c>
    </row>
    <row r="14" spans="1:12" ht="14.25" customHeight="1" x14ac:dyDescent="0.2"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DATA!C61</f>
        <v>875</v>
      </c>
      <c r="C15" s="1">
        <f>B15*C9</f>
        <v>10500</v>
      </c>
      <c r="H15" s="19" t="s">
        <v>244</v>
      </c>
      <c r="I15" s="19"/>
    </row>
    <row r="16" spans="1:12" ht="14.25" customHeight="1" x14ac:dyDescent="0.2"/>
    <row r="17" spans="1:12" ht="14.25" customHeight="1" x14ac:dyDescent="0.2">
      <c r="A17" s="1" t="s">
        <v>227</v>
      </c>
      <c r="B17" s="1">
        <f>C17/C9</f>
        <v>1115.2</v>
      </c>
      <c r="C17" s="88">
        <f>L7</f>
        <v>13382.4</v>
      </c>
      <c r="H17" s="19"/>
      <c r="I17" s="19" t="s">
        <v>245</v>
      </c>
    </row>
    <row r="18" spans="1:12" ht="14.25" customHeight="1" x14ac:dyDescent="0.2"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1">B19*$C$9</f>
        <v>24000</v>
      </c>
    </row>
    <row r="20" spans="1:12" ht="14.25" customHeight="1" x14ac:dyDescent="0.2">
      <c r="A20" s="1" t="s">
        <v>248</v>
      </c>
      <c r="B20" s="1">
        <v>2000</v>
      </c>
      <c r="C20" s="1">
        <f t="shared" si="1"/>
        <v>24000</v>
      </c>
      <c r="E20" s="80" t="s">
        <v>33</v>
      </c>
      <c r="F20" s="11">
        <f>I29-L21</f>
        <v>-85468.400000000081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2">B21*C8</f>
        <v>0</v>
      </c>
      <c r="H21" s="89" t="str">
        <f>A30</f>
        <v>สินทรัพย์สภาพคล่อง</v>
      </c>
      <c r="I21" s="90">
        <f>(SUM(I4:I5)+SUM(I8:I9)+SUM(I12:I15)+SUM(I18))-G29</f>
        <v>279036.39879999997</v>
      </c>
      <c r="K21" s="41" t="s">
        <v>94</v>
      </c>
      <c r="L21" s="35">
        <f>L7+L13</f>
        <v>413856.00000000006</v>
      </c>
    </row>
    <row r="22" spans="1:12" ht="14.25" customHeight="1" x14ac:dyDescent="0.2">
      <c r="A22" s="1" t="s">
        <v>250</v>
      </c>
      <c r="B22" s="1">
        <v>350</v>
      </c>
      <c r="C22" s="1">
        <f t="shared" si="2"/>
        <v>4200</v>
      </c>
    </row>
    <row r="23" spans="1:12" ht="14.25" customHeight="1" x14ac:dyDescent="0.2"/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12638</v>
      </c>
      <c r="F25" s="80"/>
    </row>
    <row r="26" spans="1:12" ht="14.25" customHeight="1" x14ac:dyDescent="0.2">
      <c r="B26" s="19" t="s">
        <v>252</v>
      </c>
      <c r="C26" s="37">
        <f>SUM(C10:C25)</f>
        <v>281968.40000000002</v>
      </c>
    </row>
    <row r="27" spans="1:12" ht="14.25" customHeight="1" x14ac:dyDescent="0.2">
      <c r="B27" s="19" t="s">
        <v>64</v>
      </c>
      <c r="C27" s="37">
        <f>C26/C9</f>
        <v>23497.366666666669</v>
      </c>
      <c r="G27" s="98">
        <v>0.2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279036.39879999997</v>
      </c>
      <c r="E29" s="1">
        <v>2</v>
      </c>
      <c r="F29" s="1" t="s">
        <v>214</v>
      </c>
      <c r="G29" s="1">
        <f>DATA!B151</f>
        <v>49351.201199999996</v>
      </c>
      <c r="I29" s="11">
        <f>I21+G29</f>
        <v>328387.59999999998</v>
      </c>
    </row>
    <row r="30" spans="1:12" ht="14.25" customHeight="1" x14ac:dyDescent="0.2">
      <c r="A30" s="80" t="s">
        <v>4</v>
      </c>
      <c r="B30" s="80">
        <f>I21</f>
        <v>279036.39879999997</v>
      </c>
      <c r="C30" s="80"/>
      <c r="E30" s="1">
        <v>3</v>
      </c>
    </row>
    <row r="31" spans="1:12" ht="14.25" customHeight="1" x14ac:dyDescent="0.2">
      <c r="A31" s="80" t="s">
        <v>32</v>
      </c>
      <c r="B31" s="80">
        <f>L7</f>
        <v>13382.4</v>
      </c>
      <c r="C31" s="80"/>
      <c r="E31" s="1">
        <v>4</v>
      </c>
    </row>
    <row r="32" spans="1:12" ht="14.25" customHeight="1" x14ac:dyDescent="0.2">
      <c r="A32" s="80"/>
      <c r="B32" s="94">
        <f>B30/B31</f>
        <v>20.850998236489716</v>
      </c>
      <c r="C32" s="80" t="s">
        <v>38</v>
      </c>
      <c r="E32" s="1">
        <v>5</v>
      </c>
    </row>
    <row r="33" spans="1:6" ht="14.25" customHeight="1" x14ac:dyDescent="0.2">
      <c r="A33" s="80"/>
      <c r="B33" s="80"/>
      <c r="C33" s="80"/>
      <c r="D33" s="80"/>
      <c r="E33" s="1">
        <v>6</v>
      </c>
      <c r="F33" s="80"/>
    </row>
    <row r="34" spans="1:6" ht="14.25" customHeight="1" x14ac:dyDescent="0.2">
      <c r="A34" s="80"/>
      <c r="B34" s="80" t="s">
        <v>48</v>
      </c>
      <c r="C34" s="80"/>
      <c r="E34" s="1">
        <v>7</v>
      </c>
    </row>
    <row r="35" spans="1:6" ht="14.25" customHeight="1" x14ac:dyDescent="0.2">
      <c r="A35" s="80"/>
      <c r="B35" s="80" t="s">
        <v>54</v>
      </c>
      <c r="C35" s="80"/>
      <c r="E35" s="1">
        <v>8</v>
      </c>
    </row>
    <row r="36" spans="1:6" ht="14.25" customHeight="1" x14ac:dyDescent="0.2">
      <c r="A36" s="80" t="s">
        <v>4</v>
      </c>
      <c r="B36" s="80">
        <f>B30</f>
        <v>279036.39879999997</v>
      </c>
      <c r="C36" s="80"/>
      <c r="E36" s="1">
        <v>9</v>
      </c>
    </row>
    <row r="37" spans="1:6" ht="14.25" customHeight="1" x14ac:dyDescent="0.2">
      <c r="A37" s="80" t="s">
        <v>60</v>
      </c>
      <c r="B37" s="80">
        <f>C27</f>
        <v>23497.366666666669</v>
      </c>
      <c r="C37" s="80"/>
      <c r="E37" s="1">
        <v>10</v>
      </c>
    </row>
    <row r="38" spans="1:6" ht="14.25" customHeight="1" x14ac:dyDescent="0.2">
      <c r="A38" s="80"/>
      <c r="B38" s="94">
        <f>B36/B37</f>
        <v>11.875220009050658</v>
      </c>
      <c r="C38" s="80" t="s">
        <v>38</v>
      </c>
      <c r="E38" s="1">
        <v>11</v>
      </c>
    </row>
    <row r="39" spans="1:6" ht="14.25" customHeight="1" x14ac:dyDescent="0.2">
      <c r="E39" s="1">
        <v>12</v>
      </c>
    </row>
    <row r="40" spans="1:6" ht="14.25" customHeight="1" x14ac:dyDescent="0.2">
      <c r="A40" s="80"/>
      <c r="B40" s="80" t="s">
        <v>68</v>
      </c>
      <c r="E40" s="1">
        <v>13</v>
      </c>
    </row>
    <row r="41" spans="1:6" ht="14.25" customHeight="1" x14ac:dyDescent="0.2">
      <c r="A41" s="80"/>
      <c r="B41" s="80" t="s">
        <v>71</v>
      </c>
      <c r="E41" s="1">
        <v>14</v>
      </c>
    </row>
    <row r="42" spans="1:6" ht="14.25" customHeight="1" x14ac:dyDescent="0.2">
      <c r="A42" s="80" t="s">
        <v>4</v>
      </c>
      <c r="B42" s="80">
        <f>B30</f>
        <v>279036.39879999997</v>
      </c>
      <c r="E42" s="1">
        <v>15</v>
      </c>
    </row>
    <row r="43" spans="1:6" ht="14.25" customHeight="1" x14ac:dyDescent="0.2">
      <c r="A43" s="80" t="s">
        <v>33</v>
      </c>
      <c r="B43" s="80">
        <f>F20</f>
        <v>-85468.400000000081</v>
      </c>
    </row>
    <row r="44" spans="1:6" ht="14.25" customHeight="1" x14ac:dyDescent="0.2">
      <c r="A44" s="80"/>
      <c r="B44" s="32">
        <f>B42/B43</f>
        <v>-3.2647902476236794</v>
      </c>
    </row>
    <row r="45" spans="1:6" ht="14.25" customHeight="1" x14ac:dyDescent="0.2">
      <c r="A45" s="80"/>
      <c r="B45" s="80"/>
      <c r="C45" s="80"/>
      <c r="D45" s="80"/>
      <c r="E45" s="80"/>
      <c r="F45" s="80"/>
    </row>
    <row r="46" spans="1:6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6" ht="14.25" customHeight="1" x14ac:dyDescent="0.2">
      <c r="A47" s="80"/>
      <c r="B47" s="80" t="s">
        <v>92</v>
      </c>
      <c r="C47" s="80"/>
    </row>
    <row r="48" spans="1:6" ht="14.25" customHeight="1" x14ac:dyDescent="0.2">
      <c r="A48" s="80" t="s">
        <v>94</v>
      </c>
      <c r="B48" s="80">
        <f>L21</f>
        <v>413856.00000000006</v>
      </c>
      <c r="C48" s="80"/>
    </row>
    <row r="49" spans="1:6" ht="14.25" customHeight="1" x14ac:dyDescent="0.2">
      <c r="A49" s="80" t="s">
        <v>39</v>
      </c>
      <c r="B49" s="80">
        <f>I29</f>
        <v>328387.59999999998</v>
      </c>
      <c r="C49" s="80"/>
    </row>
    <row r="50" spans="1:6" ht="14.25" customHeight="1" x14ac:dyDescent="0.2">
      <c r="A50" s="80"/>
      <c r="B50" s="77">
        <f>B48/B49</f>
        <v>1.2602668310252887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-85468.400000000081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328387.59999999998</v>
      </c>
      <c r="C55" s="80"/>
    </row>
    <row r="56" spans="1:6" ht="14.25" customHeight="1" x14ac:dyDescent="0.2">
      <c r="A56" s="80"/>
      <c r="B56" s="77">
        <f>B54/B55</f>
        <v>-0.26026683102528869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L7</f>
        <v>13382.4</v>
      </c>
    </row>
    <row r="61" spans="1:6" ht="14.25" customHeight="1" x14ac:dyDescent="0.2">
      <c r="A61" s="80" t="s">
        <v>107</v>
      </c>
      <c r="B61" s="80">
        <f>E2</f>
        <v>520380</v>
      </c>
      <c r="F61" s="80"/>
    </row>
    <row r="62" spans="1:6" ht="14.25" customHeight="1" x14ac:dyDescent="0.2">
      <c r="A62" s="80"/>
      <c r="B62" s="32">
        <f>B60/B61</f>
        <v>2.5716591721434336E-2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3">B60/12</f>
        <v>1115.2</v>
      </c>
    </row>
    <row r="67" spans="1:6" ht="14.25" customHeight="1" x14ac:dyDescent="0.2">
      <c r="A67" s="80" t="s">
        <v>258</v>
      </c>
      <c r="B67" s="80">
        <f t="shared" si="3"/>
        <v>43365</v>
      </c>
    </row>
    <row r="68" spans="1:6" ht="14.25" customHeight="1" x14ac:dyDescent="0.2">
      <c r="A68" s="80"/>
      <c r="B68" s="32">
        <f>B66/B67</f>
        <v>2.5716591721434336E-2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279036.39879999997</v>
      </c>
    </row>
    <row r="73" spans="1:6" ht="14.25" customHeight="1" x14ac:dyDescent="0.2">
      <c r="A73" s="80" t="s">
        <v>138</v>
      </c>
      <c r="B73" s="80">
        <f>E2</f>
        <v>520380</v>
      </c>
    </row>
    <row r="74" spans="1:6" ht="14.25" customHeight="1" x14ac:dyDescent="0.2">
      <c r="A74" s="80"/>
      <c r="B74" s="77">
        <f>B72/B73</f>
        <v>0.53621660863215337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G29</f>
        <v>49351.201199999996</v>
      </c>
      <c r="C78" s="80"/>
    </row>
    <row r="79" spans="1:6" ht="14.25" customHeight="1" x14ac:dyDescent="0.2">
      <c r="A79" s="80" t="s">
        <v>33</v>
      </c>
      <c r="B79" s="80">
        <f>B43</f>
        <v>-85468.400000000081</v>
      </c>
      <c r="C79" s="80"/>
    </row>
    <row r="80" spans="1:6" ht="14.25" customHeight="1" x14ac:dyDescent="0.2">
      <c r="A80" s="80"/>
      <c r="B80" s="77">
        <f>B78/B79</f>
        <v>-0.57742044077109145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A91-B107</f>
        <v>351380</v>
      </c>
    </row>
    <row r="91" spans="1:5" ht="14.25" customHeight="1" x14ac:dyDescent="0.2">
      <c r="A91" s="96">
        <f>E2</f>
        <v>520380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4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4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51380</v>
      </c>
      <c r="D95" s="24">
        <v>0.1</v>
      </c>
      <c r="E95" s="25">
        <f t="shared" si="4"/>
        <v>5138</v>
      </c>
    </row>
    <row r="96" spans="1:5" ht="14.25" customHeight="1" x14ac:dyDescent="0.2">
      <c r="B96" s="22" t="s">
        <v>52</v>
      </c>
      <c r="C96" s="23">
        <f>IF((A90-C93-C94-C95)&gt;=250000,250000,(A90-C93-C94-C95))</f>
        <v>0</v>
      </c>
      <c r="D96" s="24">
        <v>0.15</v>
      </c>
      <c r="E96" s="25">
        <f t="shared" si="4"/>
        <v>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4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4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4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4"/>
        <v>0</v>
      </c>
    </row>
    <row r="101" spans="1:5" ht="14.25" customHeight="1" x14ac:dyDescent="0.35">
      <c r="E101" s="97">
        <f>SUM(E93:E100)</f>
        <v>12638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B107" s="45">
        <f>SUM(B104:B106)</f>
        <v>169000</v>
      </c>
    </row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265" priority="1" operator="greaterThan">
      <formula>0.9999999999</formula>
    </cfRule>
    <cfRule type="cellIs" dxfId="264" priority="2" operator="lessThan">
      <formula>1</formula>
    </cfRule>
  </conditionalFormatting>
  <conditionalFormatting sqref="B38">
    <cfRule type="cellIs" dxfId="263" priority="3" operator="greaterThan">
      <formula>5.9999</formula>
    </cfRule>
    <cfRule type="cellIs" dxfId="262" priority="4" operator="lessThan">
      <formula>3</formula>
    </cfRule>
  </conditionalFormatting>
  <conditionalFormatting sqref="B44">
    <cfRule type="cellIs" dxfId="261" priority="5" operator="greaterThan">
      <formula>0.29</formula>
    </cfRule>
    <cfRule type="cellIs" dxfId="260" priority="6" operator="lessThan">
      <formula>0.05</formula>
    </cfRule>
    <cfRule type="cellIs" dxfId="259" priority="7" operator="greaterThan">
      <formula>0.049</formula>
    </cfRule>
  </conditionalFormatting>
  <conditionalFormatting sqref="B50">
    <cfRule type="cellIs" dxfId="258" priority="8" operator="greaterThan">
      <formula>0.49</formula>
    </cfRule>
    <cfRule type="cellIs" dxfId="257" priority="9" operator="lessThan">
      <formula>0.41</formula>
    </cfRule>
  </conditionalFormatting>
  <conditionalFormatting sqref="B56">
    <cfRule type="cellIs" dxfId="256" priority="10" operator="lessThan">
      <formula>0.41</formula>
    </cfRule>
    <cfRule type="cellIs" dxfId="255" priority="11" operator="greaterThan">
      <formula>0.59</formula>
    </cfRule>
  </conditionalFormatting>
  <conditionalFormatting sqref="B62">
    <cfRule type="cellIs" dxfId="254" priority="12" operator="greaterThan">
      <formula>0.39</formula>
    </cfRule>
    <cfRule type="cellIs" dxfId="253" priority="13" operator="lessThan">
      <formula>0.281</formula>
    </cfRule>
  </conditionalFormatting>
  <conditionalFormatting sqref="B68">
    <cfRule type="cellIs" dxfId="252" priority="14" operator="greaterThan">
      <formula>0.39</formula>
    </cfRule>
    <cfRule type="cellIs" dxfId="251" priority="15" operator="lessThan">
      <formula>0.281</formula>
    </cfRule>
  </conditionalFormatting>
  <conditionalFormatting sqref="B74">
    <cfRule type="cellIs" dxfId="250" priority="16" operator="lessThan">
      <formula>0.1</formula>
    </cfRule>
    <cfRule type="cellIs" dxfId="249" priority="17" operator="greaterThan">
      <formula>0.19</formula>
    </cfRule>
  </conditionalFormatting>
  <conditionalFormatting sqref="B80">
    <cfRule type="cellIs" dxfId="248" priority="18" operator="lessThan">
      <formula>0.3</formula>
    </cfRule>
    <cfRule type="cellIs" dxfId="247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625" customWidth="1"/>
    <col min="3" max="3" width="13.75" customWidth="1"/>
    <col min="4" max="4" width="19.125" customWidth="1"/>
    <col min="5" max="5" width="17.375" customWidth="1"/>
    <col min="6" max="6" width="18.375" customWidth="1"/>
    <col min="7" max="7" width="11.375" customWidth="1"/>
    <col min="8" max="8" width="60.25" customWidth="1"/>
    <col min="9" max="9" width="46.375" customWidth="1"/>
    <col min="10" max="10" width="8.75" customWidth="1"/>
    <col min="11" max="11" width="17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DATA!B33</f>
        <v>3</v>
      </c>
      <c r="B2" s="11">
        <f>DATA!E33</f>
        <v>34177.5</v>
      </c>
      <c r="C2" s="11">
        <f>DATA!F33</f>
        <v>410130</v>
      </c>
      <c r="D2" s="11">
        <f>DATA!G33</f>
        <v>136269</v>
      </c>
      <c r="E2" s="11">
        <f>DATA!H33</f>
        <v>546399</v>
      </c>
      <c r="F2" s="11">
        <f>DATA!I33</f>
        <v>45533.25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'2'!I21+F10</f>
        <v>506851.09879999992</v>
      </c>
      <c r="K4" s="19" t="s">
        <v>227</v>
      </c>
      <c r="L4" s="61">
        <f>DATA!G5</f>
        <v>15206.4</v>
      </c>
    </row>
    <row r="5" spans="1:12" ht="14.25" customHeight="1" x14ac:dyDescent="0.2">
      <c r="H5" s="19" t="s">
        <v>228</v>
      </c>
      <c r="I5" s="19" t="s">
        <v>157</v>
      </c>
      <c r="K5" s="19"/>
      <c r="L5" s="19"/>
    </row>
    <row r="6" spans="1:12" ht="14.25" customHeight="1" x14ac:dyDescent="0.2"/>
    <row r="7" spans="1:12" ht="14.25" customHeight="1" x14ac:dyDescent="0.2">
      <c r="H7" s="19"/>
      <c r="I7" s="19" t="s">
        <v>229</v>
      </c>
      <c r="K7" s="14" t="s">
        <v>230</v>
      </c>
      <c r="L7" s="25">
        <f>SUM(L4:L5)</f>
        <v>15206.4</v>
      </c>
    </row>
    <row r="8" spans="1:12" ht="14.25" customHeight="1" x14ac:dyDescent="0.2">
      <c r="C8" s="39">
        <v>10</v>
      </c>
      <c r="H8" s="19" t="s">
        <v>231</v>
      </c>
      <c r="I8" s="19"/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  <c r="K9" s="19"/>
      <c r="L9" s="19" t="s">
        <v>234</v>
      </c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227814.69999999995</v>
      </c>
      <c r="K10" s="19" t="s">
        <v>227</v>
      </c>
      <c r="L10" s="61">
        <f>DATA!G18-SUM(DATA!G3:G5)</f>
        <v>385267.20000000007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/>
      <c r="L11" s="19"/>
    </row>
    <row r="12" spans="1:12" ht="14.25" customHeight="1" x14ac:dyDescent="0.2">
      <c r="A12" s="1" t="s">
        <v>238</v>
      </c>
      <c r="B12" s="1">
        <v>1950</v>
      </c>
      <c r="C12" s="1">
        <f t="shared" si="0"/>
        <v>23400</v>
      </c>
      <c r="H12" s="19" t="s">
        <v>239</v>
      </c>
      <c r="I12" s="19"/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4" t="s">
        <v>242</v>
      </c>
      <c r="L13" s="25">
        <f>SUM(L10:L11)</f>
        <v>385267.20000000007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DATA!C61</f>
        <v>875</v>
      </c>
      <c r="C15" s="1">
        <f>B15*C9</f>
        <v>10500</v>
      </c>
      <c r="H15" s="19" t="s">
        <v>244</v>
      </c>
      <c r="I15" s="19"/>
    </row>
    <row r="16" spans="1:12" ht="14.25" customHeight="1" x14ac:dyDescent="0.2"/>
    <row r="17" spans="1:12" ht="14.25" customHeight="1" x14ac:dyDescent="0.2">
      <c r="A17" s="1" t="s">
        <v>227</v>
      </c>
      <c r="B17" s="1">
        <f>C17/C9</f>
        <v>1267.2</v>
      </c>
      <c r="C17" s="88">
        <f>L7</f>
        <v>15206.4</v>
      </c>
      <c r="H17" s="19"/>
      <c r="I17" s="19" t="s">
        <v>245</v>
      </c>
    </row>
    <row r="18" spans="1:12" ht="14.25" customHeight="1" x14ac:dyDescent="0.2"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1">B19*$C$9</f>
        <v>24000</v>
      </c>
    </row>
    <row r="20" spans="1:12" ht="14.25" customHeight="1" x14ac:dyDescent="0.2">
      <c r="A20" s="1" t="s">
        <v>248</v>
      </c>
      <c r="B20" s="1">
        <v>2000</v>
      </c>
      <c r="C20" s="1">
        <f t="shared" si="1"/>
        <v>24000</v>
      </c>
      <c r="E20" s="80" t="s">
        <v>33</v>
      </c>
      <c r="F20" s="11">
        <f>I29-L21</f>
        <v>157455.99204199982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2">B21*C8</f>
        <v>0</v>
      </c>
      <c r="H21" s="89" t="str">
        <f>A30</f>
        <v>สินทรัพย์สภาพคล่อง</v>
      </c>
      <c r="I21" s="90">
        <f>(SUM(I4:I5)+SUM(I8:I9)+SUM(I12:I15)+SUM(I18))-G30</f>
        <v>459693.45589999994</v>
      </c>
      <c r="K21" s="41" t="s">
        <v>94</v>
      </c>
      <c r="L21" s="35">
        <f>L7+L13</f>
        <v>400473.60000000009</v>
      </c>
    </row>
    <row r="22" spans="1:12" ht="14.25" customHeight="1" x14ac:dyDescent="0.2">
      <c r="A22" s="1" t="s">
        <v>250</v>
      </c>
      <c r="B22" s="1">
        <v>350</v>
      </c>
      <c r="C22" s="1">
        <f t="shared" si="2"/>
        <v>4200</v>
      </c>
    </row>
    <row r="23" spans="1:12" ht="14.25" customHeight="1" x14ac:dyDescent="0.2"/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15239.900000000001</v>
      </c>
      <c r="F25" s="80"/>
    </row>
    <row r="26" spans="1:12" ht="14.25" customHeight="1" x14ac:dyDescent="0.2">
      <c r="B26" s="19" t="s">
        <v>252</v>
      </c>
      <c r="C26" s="37">
        <f>SUM(C10:C25)</f>
        <v>318584.30000000005</v>
      </c>
    </row>
    <row r="27" spans="1:12" ht="14.25" customHeight="1" x14ac:dyDescent="0.2">
      <c r="B27" s="19" t="s">
        <v>64</v>
      </c>
      <c r="C27" s="37">
        <f>C26/C9</f>
        <v>26548.691666666669</v>
      </c>
      <c r="G27" s="98">
        <v>0.2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459693.45589999994</v>
      </c>
      <c r="E29" s="1">
        <v>2</v>
      </c>
      <c r="F29" s="1" t="s">
        <v>214</v>
      </c>
      <c r="G29" s="1">
        <f>DATA!B152</f>
        <v>51078.493241999997</v>
      </c>
      <c r="I29" s="11">
        <f>I21+G38</f>
        <v>557929.59204199992</v>
      </c>
    </row>
    <row r="30" spans="1:12" ht="14.25" customHeight="1" x14ac:dyDescent="0.2">
      <c r="A30" s="80" t="s">
        <v>4</v>
      </c>
      <c r="B30" s="80">
        <f>I21</f>
        <v>459693.45589999994</v>
      </c>
      <c r="C30" s="80"/>
      <c r="E30" s="1">
        <v>3</v>
      </c>
      <c r="F30" s="1" t="s">
        <v>214</v>
      </c>
      <c r="G30" s="1">
        <f>DATA!C152</f>
        <v>47157.642899999992</v>
      </c>
    </row>
    <row r="31" spans="1:12" ht="14.25" customHeight="1" x14ac:dyDescent="0.2">
      <c r="A31" s="80" t="s">
        <v>32</v>
      </c>
      <c r="B31" s="80">
        <f>L7</f>
        <v>15206.4</v>
      </c>
      <c r="C31" s="80"/>
    </row>
    <row r="32" spans="1:12" ht="14.25" customHeight="1" x14ac:dyDescent="0.2">
      <c r="A32" s="80"/>
      <c r="B32" s="94">
        <f>B30/B31</f>
        <v>30.230261988373314</v>
      </c>
      <c r="C32" s="80" t="s">
        <v>38</v>
      </c>
    </row>
    <row r="33" spans="1:7" ht="14.25" customHeight="1" x14ac:dyDescent="0.2">
      <c r="A33" s="80"/>
      <c r="B33" s="80"/>
      <c r="C33" s="80"/>
      <c r="D33" s="80"/>
      <c r="E33" s="80"/>
      <c r="F33" s="80"/>
    </row>
    <row r="34" spans="1:7" ht="14.25" customHeight="1" x14ac:dyDescent="0.2">
      <c r="A34" s="80"/>
      <c r="B34" s="80" t="s">
        <v>48</v>
      </c>
      <c r="C34" s="80"/>
    </row>
    <row r="35" spans="1:7" ht="14.25" customHeight="1" x14ac:dyDescent="0.2">
      <c r="A35" s="80"/>
      <c r="B35" s="80" t="s">
        <v>54</v>
      </c>
      <c r="C35" s="80"/>
    </row>
    <row r="36" spans="1:7" ht="14.25" customHeight="1" x14ac:dyDescent="0.2">
      <c r="A36" s="80" t="s">
        <v>4</v>
      </c>
      <c r="B36" s="80">
        <f>B30</f>
        <v>459693.45589999994</v>
      </c>
      <c r="C36" s="80"/>
    </row>
    <row r="37" spans="1:7" ht="14.25" customHeight="1" x14ac:dyDescent="0.2">
      <c r="A37" s="80" t="s">
        <v>60</v>
      </c>
      <c r="B37" s="80">
        <f>C27</f>
        <v>26548.691666666669</v>
      </c>
      <c r="C37" s="80"/>
    </row>
    <row r="38" spans="1:7" ht="14.25" customHeight="1" x14ac:dyDescent="0.2">
      <c r="A38" s="80"/>
      <c r="B38" s="94">
        <f>B36/B37</f>
        <v>17.31510771497528</v>
      </c>
      <c r="C38" s="80" t="s">
        <v>38</v>
      </c>
      <c r="G38" s="1">
        <f>SUM(G29:G37)</f>
        <v>98236.136141999988</v>
      </c>
    </row>
    <row r="39" spans="1:7" ht="14.25" customHeight="1" x14ac:dyDescent="0.2"/>
    <row r="40" spans="1:7" ht="14.25" customHeight="1" x14ac:dyDescent="0.2">
      <c r="A40" s="80"/>
      <c r="B40" s="80" t="s">
        <v>68</v>
      </c>
    </row>
    <row r="41" spans="1:7" ht="14.25" customHeight="1" x14ac:dyDescent="0.2">
      <c r="A41" s="80"/>
      <c r="B41" s="80" t="s">
        <v>71</v>
      </c>
    </row>
    <row r="42" spans="1:7" ht="14.25" customHeight="1" x14ac:dyDescent="0.2">
      <c r="A42" s="80" t="s">
        <v>4</v>
      </c>
      <c r="B42" s="80">
        <f>B30</f>
        <v>459693.45589999994</v>
      </c>
    </row>
    <row r="43" spans="1:7" ht="14.25" customHeight="1" x14ac:dyDescent="0.2">
      <c r="A43" s="80" t="s">
        <v>33</v>
      </c>
      <c r="B43" s="80">
        <f>F20</f>
        <v>157455.99204199982</v>
      </c>
    </row>
    <row r="44" spans="1:7" ht="14.25" customHeight="1" x14ac:dyDescent="0.2">
      <c r="A44" s="80"/>
      <c r="B44" s="32">
        <f>B42/B43</f>
        <v>2.9195043639709901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400473.60000000009</v>
      </c>
      <c r="C48" s="80"/>
    </row>
    <row r="49" spans="1:6" ht="14.25" customHeight="1" x14ac:dyDescent="0.2">
      <c r="A49" s="80" t="s">
        <v>39</v>
      </c>
      <c r="B49" s="80">
        <f>I29</f>
        <v>557929.59204199992</v>
      </c>
      <c r="C49" s="80"/>
    </row>
    <row r="50" spans="1:6" ht="14.25" customHeight="1" x14ac:dyDescent="0.2">
      <c r="A50" s="80"/>
      <c r="B50" s="32">
        <f>B48/B49</f>
        <v>0.7177851931715663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157455.99204199982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557929.59204199992</v>
      </c>
      <c r="C55" s="80"/>
    </row>
    <row r="56" spans="1:6" ht="14.25" customHeight="1" x14ac:dyDescent="0.2">
      <c r="A56" s="80"/>
      <c r="B56" s="32">
        <f>B54/B55</f>
        <v>0.2822148068284337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L7</f>
        <v>15206.4</v>
      </c>
    </row>
    <row r="61" spans="1:6" ht="14.25" customHeight="1" x14ac:dyDescent="0.2">
      <c r="A61" s="80" t="s">
        <v>107</v>
      </c>
      <c r="B61" s="80">
        <f>E2</f>
        <v>546399</v>
      </c>
      <c r="F61" s="80"/>
    </row>
    <row r="62" spans="1:6" ht="14.25" customHeight="1" x14ac:dyDescent="0.2">
      <c r="A62" s="80"/>
      <c r="B62" s="32">
        <f>B60/B61</f>
        <v>2.7830211987942877E-2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3">B60/12</f>
        <v>1267.2</v>
      </c>
    </row>
    <row r="67" spans="1:6" ht="14.25" customHeight="1" x14ac:dyDescent="0.2">
      <c r="A67" s="80" t="s">
        <v>258</v>
      </c>
      <c r="B67" s="80">
        <f t="shared" si="3"/>
        <v>45533.25</v>
      </c>
    </row>
    <row r="68" spans="1:6" ht="14.25" customHeight="1" x14ac:dyDescent="0.2">
      <c r="A68" s="80"/>
      <c r="B68" s="32">
        <f>B66/B67</f>
        <v>2.7830211987942877E-2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459693.45589999994</v>
      </c>
    </row>
    <row r="73" spans="1:6" ht="14.25" customHeight="1" x14ac:dyDescent="0.2">
      <c r="A73" s="80" t="s">
        <v>138</v>
      </c>
      <c r="B73" s="80">
        <f>E2</f>
        <v>546399</v>
      </c>
    </row>
    <row r="74" spans="1:6" ht="14.25" customHeight="1" x14ac:dyDescent="0.2">
      <c r="A74" s="80"/>
      <c r="B74" s="77">
        <f>B72/B73</f>
        <v>0.84131459958748089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G38</f>
        <v>98236.136141999988</v>
      </c>
      <c r="C78" s="80"/>
    </row>
    <row r="79" spans="1:6" ht="14.25" customHeight="1" x14ac:dyDescent="0.2">
      <c r="A79" s="80" t="s">
        <v>33</v>
      </c>
      <c r="B79" s="80">
        <f>B43</f>
        <v>157455.99204199982</v>
      </c>
      <c r="C79" s="80"/>
    </row>
    <row r="80" spans="1:6" ht="14.25" customHeight="1" x14ac:dyDescent="0.2">
      <c r="A80" s="80"/>
      <c r="B80" s="77">
        <f>B78/B79</f>
        <v>0.62389582554467959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A91-B107</f>
        <v>377399</v>
      </c>
    </row>
    <row r="91" spans="1:5" ht="14.25" customHeight="1" x14ac:dyDescent="0.2">
      <c r="A91" s="96">
        <f>E2</f>
        <v>546399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4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4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77399</v>
      </c>
      <c r="D95" s="24">
        <v>0.1</v>
      </c>
      <c r="E95" s="25">
        <f t="shared" si="4"/>
        <v>7739.9000000000005</v>
      </c>
    </row>
    <row r="96" spans="1:5" ht="14.25" customHeight="1" x14ac:dyDescent="0.2">
      <c r="B96" s="22" t="s">
        <v>52</v>
      </c>
      <c r="C96" s="23">
        <f>IF((A90-C93-C94-C95)&gt;=250000,250000,(A90-C93-C94-C95))</f>
        <v>0</v>
      </c>
      <c r="D96" s="24">
        <v>0.15</v>
      </c>
      <c r="E96" s="25">
        <f t="shared" si="4"/>
        <v>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4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4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4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4"/>
        <v>0</v>
      </c>
    </row>
    <row r="101" spans="1:5" ht="14.25" customHeight="1" x14ac:dyDescent="0.35">
      <c r="E101" s="97">
        <f>SUM(E93:E100)</f>
        <v>15239.900000000001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B107" s="45">
        <f>SUM(B104:B106)</f>
        <v>169000</v>
      </c>
    </row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246" priority="1" operator="greaterThan">
      <formula>0.9999999999</formula>
    </cfRule>
    <cfRule type="cellIs" dxfId="245" priority="2" operator="lessThan">
      <formula>1</formula>
    </cfRule>
  </conditionalFormatting>
  <conditionalFormatting sqref="B38">
    <cfRule type="cellIs" dxfId="244" priority="3" operator="greaterThan">
      <formula>5.9999</formula>
    </cfRule>
    <cfRule type="cellIs" dxfId="243" priority="4" operator="lessThan">
      <formula>3</formula>
    </cfRule>
  </conditionalFormatting>
  <conditionalFormatting sqref="B44">
    <cfRule type="cellIs" dxfId="242" priority="5" operator="greaterThan">
      <formula>0.29</formula>
    </cfRule>
    <cfRule type="cellIs" dxfId="241" priority="6" operator="lessThan">
      <formula>0.05</formula>
    </cfRule>
    <cfRule type="cellIs" dxfId="240" priority="7" operator="greaterThan">
      <formula>0.049</formula>
    </cfRule>
  </conditionalFormatting>
  <conditionalFormatting sqref="B50">
    <cfRule type="cellIs" dxfId="239" priority="8" operator="greaterThan">
      <formula>0.49</formula>
    </cfRule>
    <cfRule type="cellIs" dxfId="238" priority="9" operator="lessThan">
      <formula>0.41</formula>
    </cfRule>
  </conditionalFormatting>
  <conditionalFormatting sqref="B56">
    <cfRule type="cellIs" dxfId="237" priority="10" operator="lessThan">
      <formula>0.41</formula>
    </cfRule>
    <cfRule type="cellIs" dxfId="236" priority="11" operator="greaterThan">
      <formula>0.59</formula>
    </cfRule>
  </conditionalFormatting>
  <conditionalFormatting sqref="B62">
    <cfRule type="cellIs" dxfId="235" priority="12" operator="greaterThan">
      <formula>0.39</formula>
    </cfRule>
    <cfRule type="cellIs" dxfId="234" priority="13" operator="lessThan">
      <formula>0.281</formula>
    </cfRule>
  </conditionalFormatting>
  <conditionalFormatting sqref="B68">
    <cfRule type="cellIs" dxfId="233" priority="14" operator="greaterThan">
      <formula>0.39</formula>
    </cfRule>
    <cfRule type="cellIs" dxfId="232" priority="15" operator="lessThan">
      <formula>0.281</formula>
    </cfRule>
  </conditionalFormatting>
  <conditionalFormatting sqref="B74">
    <cfRule type="cellIs" dxfId="231" priority="16" operator="lessThan">
      <formula>0.1</formula>
    </cfRule>
    <cfRule type="cellIs" dxfId="230" priority="17" operator="greaterThan">
      <formula>0.19</formula>
    </cfRule>
  </conditionalFormatting>
  <conditionalFormatting sqref="B80">
    <cfRule type="cellIs" dxfId="229" priority="18" operator="lessThan">
      <formula>0.3</formula>
    </cfRule>
    <cfRule type="cellIs" dxfId="228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625" customWidth="1"/>
    <col min="3" max="3" width="13.75" customWidth="1"/>
    <col min="4" max="4" width="19.125" customWidth="1"/>
    <col min="5" max="5" width="17.3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17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DATA!B34</f>
        <v>4</v>
      </c>
      <c r="B2" s="11">
        <f>DATA!E34</f>
        <v>35886.375</v>
      </c>
      <c r="C2" s="11">
        <f>DATA!F34</f>
        <v>430636.5</v>
      </c>
      <c r="D2" s="11">
        <f>DATA!G34</f>
        <v>149895.90000000002</v>
      </c>
      <c r="E2" s="11">
        <f>DATA!H34</f>
        <v>580532.4</v>
      </c>
      <c r="F2" s="11">
        <f>DATA!I34</f>
        <v>48377.700000000004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'3'!I21+F10</f>
        <v>655307.41589999991</v>
      </c>
      <c r="K4" s="19" t="s">
        <v>227</v>
      </c>
      <c r="L4" s="61">
        <f>DATA!G6</f>
        <v>17011.2</v>
      </c>
    </row>
    <row r="5" spans="1:12" ht="14.25" customHeight="1" x14ac:dyDescent="0.2">
      <c r="H5" s="19" t="s">
        <v>228</v>
      </c>
      <c r="I5" s="19" t="s">
        <v>157</v>
      </c>
      <c r="K5" s="19"/>
      <c r="L5" s="19"/>
    </row>
    <row r="6" spans="1:12" ht="14.25" customHeight="1" x14ac:dyDescent="0.2"/>
    <row r="7" spans="1:12" ht="14.25" customHeight="1" x14ac:dyDescent="0.2">
      <c r="H7" s="19"/>
      <c r="I7" s="19" t="s">
        <v>229</v>
      </c>
      <c r="K7" s="14" t="s">
        <v>230</v>
      </c>
      <c r="L7" s="25">
        <f>SUM(L4:L5)</f>
        <v>17011.2</v>
      </c>
    </row>
    <row r="8" spans="1:12" ht="14.25" customHeight="1" x14ac:dyDescent="0.2">
      <c r="C8" s="39">
        <v>10</v>
      </c>
      <c r="H8" s="19" t="s">
        <v>231</v>
      </c>
      <c r="I8" s="19"/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  <c r="K9" s="19"/>
      <c r="L9" s="19" t="s">
        <v>234</v>
      </c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195613.96000000002</v>
      </c>
      <c r="K10" s="19" t="s">
        <v>227</v>
      </c>
      <c r="L10" s="61">
        <f>DATA!G18-SUM(DATA!G3:G6)</f>
        <v>368256.00000000006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/>
      <c r="L11" s="19"/>
    </row>
    <row r="12" spans="1:12" ht="14.25" customHeight="1" x14ac:dyDescent="0.2">
      <c r="A12" s="1" t="s">
        <v>238</v>
      </c>
      <c r="B12" s="1">
        <v>2043</v>
      </c>
      <c r="C12" s="1">
        <f t="shared" si="0"/>
        <v>24516</v>
      </c>
      <c r="H12" s="19" t="s">
        <v>239</v>
      </c>
      <c r="I12" s="19"/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4" t="s">
        <v>242</v>
      </c>
      <c r="L13" s="25">
        <f>SUM(L10:L11)</f>
        <v>368256.00000000006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DATA!C61</f>
        <v>875</v>
      </c>
      <c r="C15" s="1">
        <f>B15*C9</f>
        <v>10500</v>
      </c>
      <c r="H15" s="19" t="s">
        <v>244</v>
      </c>
      <c r="I15" s="19"/>
    </row>
    <row r="16" spans="1:12" ht="14.25" customHeight="1" x14ac:dyDescent="0.2"/>
    <row r="17" spans="1:12" ht="14.25" customHeight="1" x14ac:dyDescent="0.2">
      <c r="A17" s="1" t="s">
        <v>227</v>
      </c>
      <c r="B17" s="1">
        <f>C17/C9</f>
        <v>1417.6000000000001</v>
      </c>
      <c r="C17" s="88">
        <f>L7</f>
        <v>17011.2</v>
      </c>
      <c r="H17" s="19"/>
      <c r="I17" s="19" t="s">
        <v>245</v>
      </c>
    </row>
    <row r="18" spans="1:12" ht="14.25" customHeight="1" x14ac:dyDescent="0.2"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1">B19*$C$9</f>
        <v>24000</v>
      </c>
    </row>
    <row r="20" spans="1:12" ht="14.25" customHeight="1" x14ac:dyDescent="0.2">
      <c r="A20" s="1" t="s">
        <v>248</v>
      </c>
      <c r="B20" s="1">
        <v>2000</v>
      </c>
      <c r="C20" s="1">
        <f t="shared" si="1"/>
        <v>24000</v>
      </c>
      <c r="E20" s="80" t="s">
        <v>33</v>
      </c>
      <c r="F20" s="11">
        <f>I29-L21</f>
        <v>371714.61680696986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2">B21*C8</f>
        <v>0</v>
      </c>
      <c r="H21" s="89" t="str">
        <f>A30</f>
        <v>สินทรัพย์สภาพคล่อง</v>
      </c>
      <c r="I21" s="90">
        <f>(SUM(I4:I5)+SUM(I8:I9)+SUM(I12:I15)+SUM(I18))-G31</f>
        <v>564200.21402999992</v>
      </c>
      <c r="K21" s="41" t="s">
        <v>94</v>
      </c>
      <c r="L21" s="35">
        <f>L7+L13</f>
        <v>385267.20000000007</v>
      </c>
    </row>
    <row r="22" spans="1:12" ht="14.25" customHeight="1" x14ac:dyDescent="0.2">
      <c r="A22" s="1" t="s">
        <v>250</v>
      </c>
      <c r="B22" s="1">
        <v>350</v>
      </c>
      <c r="C22" s="1">
        <f t="shared" si="2"/>
        <v>4200</v>
      </c>
    </row>
    <row r="23" spans="1:12" ht="14.25" customHeight="1" x14ac:dyDescent="0.2">
      <c r="A23" s="1" t="s">
        <v>259</v>
      </c>
      <c r="B23" s="1">
        <v>5000</v>
      </c>
      <c r="C23" s="1">
        <f>B23*C9</f>
        <v>60000</v>
      </c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18653.240000000005</v>
      </c>
      <c r="F25" s="80"/>
    </row>
    <row r="26" spans="1:12" ht="14.25" customHeight="1" x14ac:dyDescent="0.2">
      <c r="B26" s="19" t="s">
        <v>252</v>
      </c>
      <c r="C26" s="37">
        <f>SUM(C10:C25)</f>
        <v>384918.44</v>
      </c>
    </row>
    <row r="27" spans="1:12" ht="14.25" customHeight="1" x14ac:dyDescent="0.2">
      <c r="B27" s="19" t="s">
        <v>64</v>
      </c>
      <c r="C27" s="37">
        <f>C26/C9</f>
        <v>32076.536666666667</v>
      </c>
      <c r="G27" s="98">
        <v>0.45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564200.21402999992</v>
      </c>
      <c r="E29" s="1">
        <v>2</v>
      </c>
      <c r="F29" s="1" t="s">
        <v>214</v>
      </c>
      <c r="G29" s="1">
        <f>DATA!B153</f>
        <v>52866.240505469985</v>
      </c>
      <c r="I29" s="11">
        <f>I21+G38</f>
        <v>756981.81680696993</v>
      </c>
    </row>
    <row r="30" spans="1:12" ht="14.25" customHeight="1" x14ac:dyDescent="0.2">
      <c r="A30" s="80" t="s">
        <v>4</v>
      </c>
      <c r="B30" s="80">
        <f>I21</f>
        <v>564200.21402999992</v>
      </c>
      <c r="C30" s="80"/>
      <c r="E30" s="1">
        <v>3</v>
      </c>
      <c r="F30" s="1" t="s">
        <v>214</v>
      </c>
      <c r="G30" s="1">
        <f>DATA!C153</f>
        <v>48808.16040149999</v>
      </c>
    </row>
    <row r="31" spans="1:12" ht="14.25" customHeight="1" x14ac:dyDescent="0.2">
      <c r="A31" s="80" t="s">
        <v>32</v>
      </c>
      <c r="B31" s="80">
        <f>L7</f>
        <v>17011.2</v>
      </c>
      <c r="C31" s="80"/>
      <c r="E31" s="1">
        <v>4</v>
      </c>
      <c r="F31" s="1" t="s">
        <v>214</v>
      </c>
      <c r="G31" s="1">
        <f>DATA!D153</f>
        <v>91107.201870000004</v>
      </c>
    </row>
    <row r="32" spans="1:12" ht="14.25" customHeight="1" x14ac:dyDescent="0.2">
      <c r="A32" s="80"/>
      <c r="B32" s="94">
        <f>B30/B31</f>
        <v>33.166397081334644</v>
      </c>
      <c r="C32" s="80" t="s">
        <v>38</v>
      </c>
    </row>
    <row r="33" spans="1:7" ht="14.25" customHeight="1" x14ac:dyDescent="0.2">
      <c r="A33" s="80"/>
      <c r="B33" s="80"/>
      <c r="C33" s="80"/>
      <c r="D33" s="80"/>
      <c r="E33" s="80"/>
      <c r="F33" s="80"/>
    </row>
    <row r="34" spans="1:7" ht="14.25" customHeight="1" x14ac:dyDescent="0.2">
      <c r="A34" s="80"/>
      <c r="B34" s="80" t="s">
        <v>48</v>
      </c>
      <c r="C34" s="80"/>
    </row>
    <row r="35" spans="1:7" ht="14.25" customHeight="1" x14ac:dyDescent="0.2">
      <c r="A35" s="80"/>
      <c r="B35" s="80" t="s">
        <v>54</v>
      </c>
      <c r="C35" s="80"/>
    </row>
    <row r="36" spans="1:7" ht="14.25" customHeight="1" x14ac:dyDescent="0.2">
      <c r="A36" s="80" t="s">
        <v>4</v>
      </c>
      <c r="B36" s="80">
        <f>B30</f>
        <v>564200.21402999992</v>
      </c>
      <c r="C36" s="80"/>
    </row>
    <row r="37" spans="1:7" ht="14.25" customHeight="1" x14ac:dyDescent="0.2">
      <c r="A37" s="80" t="s">
        <v>60</v>
      </c>
      <c r="B37" s="80">
        <f>C27</f>
        <v>32076.536666666667</v>
      </c>
      <c r="C37" s="80"/>
    </row>
    <row r="38" spans="1:7" ht="14.25" customHeight="1" x14ac:dyDescent="0.2">
      <c r="A38" s="80"/>
      <c r="B38" s="94">
        <f>B36/B37</f>
        <v>17.58918738307263</v>
      </c>
      <c r="C38" s="80" t="s">
        <v>38</v>
      </c>
      <c r="G38" s="1">
        <f>SUM(G29:G37)</f>
        <v>192781.60277696996</v>
      </c>
    </row>
    <row r="39" spans="1:7" ht="14.25" customHeight="1" x14ac:dyDescent="0.2"/>
    <row r="40" spans="1:7" ht="14.25" customHeight="1" x14ac:dyDescent="0.2">
      <c r="A40" s="80"/>
      <c r="B40" s="80" t="s">
        <v>68</v>
      </c>
    </row>
    <row r="41" spans="1:7" ht="14.25" customHeight="1" x14ac:dyDescent="0.2">
      <c r="A41" s="80"/>
      <c r="B41" s="80" t="s">
        <v>71</v>
      </c>
    </row>
    <row r="42" spans="1:7" ht="14.25" customHeight="1" x14ac:dyDescent="0.2">
      <c r="A42" s="80" t="s">
        <v>4</v>
      </c>
      <c r="B42" s="80">
        <f>B30</f>
        <v>564200.21402999992</v>
      </c>
    </row>
    <row r="43" spans="1:7" ht="14.25" customHeight="1" x14ac:dyDescent="0.2">
      <c r="A43" s="80" t="s">
        <v>33</v>
      </c>
      <c r="B43" s="80">
        <f>F20</f>
        <v>371714.61680696986</v>
      </c>
    </row>
    <row r="44" spans="1:7" ht="14.25" customHeight="1" x14ac:dyDescent="0.2">
      <c r="A44" s="80"/>
      <c r="B44" s="32">
        <f>B42/B43</f>
        <v>1.5178316604186355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385267.20000000007</v>
      </c>
      <c r="C48" s="80"/>
    </row>
    <row r="49" spans="1:6" ht="14.25" customHeight="1" x14ac:dyDescent="0.2">
      <c r="A49" s="80" t="s">
        <v>39</v>
      </c>
      <c r="B49" s="80">
        <f>I29</f>
        <v>756981.81680696993</v>
      </c>
      <c r="C49" s="80"/>
    </row>
    <row r="50" spans="1:6" ht="14.25" customHeight="1" x14ac:dyDescent="0.2">
      <c r="A50" s="80"/>
      <c r="B50" s="77">
        <f>B48/B49</f>
        <v>0.50895172307453596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371714.61680696986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756981.81680696993</v>
      </c>
      <c r="C55" s="80"/>
    </row>
    <row r="56" spans="1:6" ht="14.25" customHeight="1" x14ac:dyDescent="0.2">
      <c r="A56" s="80"/>
      <c r="B56" s="77">
        <f>B54/B55</f>
        <v>0.49104827692546404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L7</f>
        <v>17011.2</v>
      </c>
    </row>
    <row r="61" spans="1:6" ht="14.25" customHeight="1" x14ac:dyDescent="0.2">
      <c r="A61" s="80" t="s">
        <v>107</v>
      </c>
      <c r="B61" s="80">
        <f>E2</f>
        <v>580532.4</v>
      </c>
      <c r="F61" s="80"/>
    </row>
    <row r="62" spans="1:6" ht="14.25" customHeight="1" x14ac:dyDescent="0.2">
      <c r="A62" s="80"/>
      <c r="B62" s="32">
        <f>B60/B61</f>
        <v>2.9302757262126972E-2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3">B60/12</f>
        <v>1417.6000000000001</v>
      </c>
    </row>
    <row r="67" spans="1:6" ht="14.25" customHeight="1" x14ac:dyDescent="0.2">
      <c r="A67" s="80" t="s">
        <v>258</v>
      </c>
      <c r="B67" s="80">
        <f t="shared" si="3"/>
        <v>48377.700000000004</v>
      </c>
    </row>
    <row r="68" spans="1:6" ht="14.25" customHeight="1" x14ac:dyDescent="0.2">
      <c r="A68" s="80"/>
      <c r="B68" s="32">
        <f>B66/B67</f>
        <v>2.9302757262126972E-2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564200.21402999992</v>
      </c>
    </row>
    <row r="73" spans="1:6" ht="14.25" customHeight="1" x14ac:dyDescent="0.2">
      <c r="A73" s="80" t="s">
        <v>138</v>
      </c>
      <c r="B73" s="80">
        <f>E2</f>
        <v>580532.4</v>
      </c>
    </row>
    <row r="74" spans="1:6" ht="14.25" customHeight="1" x14ac:dyDescent="0.2">
      <c r="A74" s="80"/>
      <c r="B74" s="77">
        <f>B72/B73</f>
        <v>0.97186688293366552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G38</f>
        <v>192781.60277696996</v>
      </c>
      <c r="C78" s="80"/>
    </row>
    <row r="79" spans="1:6" ht="14.25" customHeight="1" x14ac:dyDescent="0.2">
      <c r="A79" s="80" t="s">
        <v>33</v>
      </c>
      <c r="B79" s="80">
        <f>B43</f>
        <v>371714.61680696986</v>
      </c>
      <c r="C79" s="80"/>
    </row>
    <row r="80" spans="1:6" ht="14.25" customHeight="1" x14ac:dyDescent="0.2">
      <c r="A80" s="80"/>
      <c r="B80" s="77">
        <f>B78/B79</f>
        <v>0.51862798518111752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A91-B107</f>
        <v>411532.4</v>
      </c>
    </row>
    <row r="91" spans="1:5" ht="14.25" customHeight="1" x14ac:dyDescent="0.2">
      <c r="A91" s="96">
        <f>E2</f>
        <v>580532.4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4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4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111532.40000000002</v>
      </c>
      <c r="D95" s="24">
        <v>0.1</v>
      </c>
      <c r="E95" s="25">
        <f t="shared" si="4"/>
        <v>11153.240000000003</v>
      </c>
    </row>
    <row r="96" spans="1:5" ht="14.25" customHeight="1" x14ac:dyDescent="0.2">
      <c r="B96" s="22" t="s">
        <v>52</v>
      </c>
      <c r="C96" s="23">
        <f>IF((A90-C93-C94-C95)&gt;=250000,250000,(A90-C93-C94-C95))</f>
        <v>0</v>
      </c>
      <c r="D96" s="24">
        <v>0.15</v>
      </c>
      <c r="E96" s="25">
        <f t="shared" si="4"/>
        <v>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4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4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4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4"/>
        <v>0</v>
      </c>
    </row>
    <row r="101" spans="1:5" ht="14.25" customHeight="1" x14ac:dyDescent="0.35">
      <c r="E101" s="97">
        <f>SUM(E93:E100)</f>
        <v>18653.240000000005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B107" s="45">
        <f>SUM(B104:B106)</f>
        <v>169000</v>
      </c>
    </row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227" priority="1" operator="greaterThan">
      <formula>0.9999999999</formula>
    </cfRule>
    <cfRule type="cellIs" dxfId="226" priority="2" operator="lessThan">
      <formula>1</formula>
    </cfRule>
  </conditionalFormatting>
  <conditionalFormatting sqref="B38">
    <cfRule type="cellIs" dxfId="225" priority="3" operator="greaterThan">
      <formula>5.9999</formula>
    </cfRule>
    <cfRule type="cellIs" dxfId="224" priority="4" operator="lessThan">
      <formula>3</formula>
    </cfRule>
  </conditionalFormatting>
  <conditionalFormatting sqref="B44">
    <cfRule type="cellIs" dxfId="223" priority="5" operator="greaterThan">
      <formula>0.29</formula>
    </cfRule>
    <cfRule type="cellIs" dxfId="222" priority="6" operator="lessThan">
      <formula>0.05</formula>
    </cfRule>
    <cfRule type="cellIs" dxfId="221" priority="7" operator="greaterThan">
      <formula>0.049</formula>
    </cfRule>
  </conditionalFormatting>
  <conditionalFormatting sqref="B50">
    <cfRule type="cellIs" dxfId="220" priority="8" operator="greaterThan">
      <formula>0.49</formula>
    </cfRule>
    <cfRule type="cellIs" dxfId="219" priority="9" operator="lessThan">
      <formula>0.41</formula>
    </cfRule>
  </conditionalFormatting>
  <conditionalFormatting sqref="B56">
    <cfRule type="cellIs" dxfId="218" priority="10" operator="lessThan">
      <formula>0.41</formula>
    </cfRule>
    <cfRule type="cellIs" dxfId="217" priority="11" operator="greaterThan">
      <formula>0.59</formula>
    </cfRule>
  </conditionalFormatting>
  <conditionalFormatting sqref="B62">
    <cfRule type="cellIs" dxfId="216" priority="12" operator="greaterThan">
      <formula>0.39</formula>
    </cfRule>
    <cfRule type="cellIs" dxfId="215" priority="13" operator="lessThan">
      <formula>0.281</formula>
    </cfRule>
  </conditionalFormatting>
  <conditionalFormatting sqref="B68">
    <cfRule type="cellIs" dxfId="214" priority="14" operator="greaterThan">
      <formula>0.39</formula>
    </cfRule>
    <cfRule type="cellIs" dxfId="213" priority="15" operator="lessThan">
      <formula>0.281</formula>
    </cfRule>
  </conditionalFormatting>
  <conditionalFormatting sqref="B74">
    <cfRule type="cellIs" dxfId="212" priority="16" operator="lessThan">
      <formula>0.1</formula>
    </cfRule>
    <cfRule type="cellIs" dxfId="211" priority="17" operator="greaterThan">
      <formula>0.19</formula>
    </cfRule>
  </conditionalFormatting>
  <conditionalFormatting sqref="B80">
    <cfRule type="cellIs" dxfId="210" priority="18" operator="lessThan">
      <formula>0.3</formula>
    </cfRule>
    <cfRule type="cellIs" dxfId="209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625" customWidth="1"/>
    <col min="3" max="3" width="13.75" customWidth="1"/>
    <col min="4" max="4" width="19.125" customWidth="1"/>
    <col min="5" max="5" width="17.375" customWidth="1"/>
    <col min="6" max="6" width="18.375" customWidth="1"/>
    <col min="7" max="7" width="11.75" customWidth="1"/>
    <col min="8" max="8" width="60.25" customWidth="1"/>
    <col min="9" max="9" width="46.375" customWidth="1"/>
    <col min="10" max="10" width="8.75" customWidth="1"/>
    <col min="11" max="11" width="23.62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DATA!B35</f>
        <v>5</v>
      </c>
      <c r="B2" s="11">
        <f>DATA!E35</f>
        <v>37680.693749999999</v>
      </c>
      <c r="C2" s="11">
        <f>DATA!F35</f>
        <v>452168.32499999995</v>
      </c>
      <c r="D2" s="11">
        <f>DATA!G35</f>
        <v>164885.49000000005</v>
      </c>
      <c r="E2" s="11">
        <f>DATA!H35</f>
        <v>617053.81499999994</v>
      </c>
      <c r="F2" s="11">
        <f>DATA!I35</f>
        <v>51421.151249999995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'4'!I21+F10</f>
        <v>768001.84752999991</v>
      </c>
      <c r="K4" s="19" t="s">
        <v>227</v>
      </c>
      <c r="L4" s="61">
        <f>DATA!G7</f>
        <v>18796.8</v>
      </c>
    </row>
    <row r="5" spans="1:12" ht="14.25" customHeight="1" x14ac:dyDescent="0.2">
      <c r="H5" s="19" t="s">
        <v>228</v>
      </c>
      <c r="I5" s="19" t="s">
        <v>157</v>
      </c>
      <c r="L5" s="19"/>
    </row>
    <row r="6" spans="1:12" ht="14.25" customHeight="1" x14ac:dyDescent="0.2"/>
    <row r="7" spans="1:12" ht="14.25" customHeight="1" x14ac:dyDescent="0.2">
      <c r="H7" s="19"/>
      <c r="I7" s="19" t="s">
        <v>229</v>
      </c>
      <c r="K7" s="14" t="s">
        <v>230</v>
      </c>
      <c r="L7" s="25">
        <f>SUM(L4:L5)</f>
        <v>18796.8</v>
      </c>
    </row>
    <row r="8" spans="1:12" ht="14.25" customHeight="1" x14ac:dyDescent="0.2">
      <c r="C8" s="39">
        <v>10</v>
      </c>
      <c r="H8" s="19" t="s">
        <v>231</v>
      </c>
      <c r="I8" s="19"/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  <c r="K9" s="19"/>
      <c r="L9" s="19" t="s">
        <v>234</v>
      </c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203801.63349999994</v>
      </c>
      <c r="K10" s="19" t="s">
        <v>227</v>
      </c>
      <c r="L10" s="61">
        <f>DATA!G18-SUM(DATA!G3:G7)</f>
        <v>349459.20000000007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L11" s="19"/>
    </row>
    <row r="12" spans="1:12" ht="14.25" customHeight="1" x14ac:dyDescent="0.2">
      <c r="A12" s="1" t="s">
        <v>238</v>
      </c>
      <c r="B12" s="1">
        <v>1826</v>
      </c>
      <c r="C12" s="1">
        <f t="shared" si="0"/>
        <v>21912</v>
      </c>
      <c r="H12" s="19" t="s">
        <v>239</v>
      </c>
      <c r="I12" s="19"/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4" t="s">
        <v>242</v>
      </c>
      <c r="L13" s="25">
        <f>SUM(L10:L11)</f>
        <v>349459.20000000007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DATA!C66</f>
        <v>1000</v>
      </c>
      <c r="C15" s="1">
        <f>B15*C9</f>
        <v>12000</v>
      </c>
      <c r="H15" s="19" t="s">
        <v>244</v>
      </c>
      <c r="I15" s="19"/>
    </row>
    <row r="16" spans="1:12" ht="14.25" customHeight="1" x14ac:dyDescent="0.2"/>
    <row r="17" spans="1:12" ht="14.25" customHeight="1" x14ac:dyDescent="0.2">
      <c r="A17" s="1" t="s">
        <v>227</v>
      </c>
      <c r="B17" s="1">
        <f>C17/C9</f>
        <v>1566.3999999999999</v>
      </c>
      <c r="C17" s="88">
        <f>L7</f>
        <v>18796.8</v>
      </c>
      <c r="H17" s="19"/>
      <c r="I17" s="19" t="s">
        <v>245</v>
      </c>
    </row>
    <row r="18" spans="1:12" ht="14.25" customHeight="1" x14ac:dyDescent="0.2"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1">B19*$C$9</f>
        <v>24000</v>
      </c>
    </row>
    <row r="20" spans="1:12" ht="14.25" customHeight="1" x14ac:dyDescent="0.2">
      <c r="A20" s="1" t="s">
        <v>248</v>
      </c>
      <c r="B20" s="1">
        <v>2000</v>
      </c>
      <c r="C20" s="1">
        <f t="shared" si="1"/>
        <v>24000</v>
      </c>
      <c r="E20" s="80" t="s">
        <v>33</v>
      </c>
      <c r="F20" s="11">
        <f>I29-L21</f>
        <v>599274.80640416383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2">B21*C8</f>
        <v>0</v>
      </c>
      <c r="H21" s="89" t="str">
        <f>A30</f>
        <v>สินทรัพย์สภาพคล่อง</v>
      </c>
      <c r="I21" s="90">
        <f>(SUM(I4:I5)+SUM(I8:I9)+SUM(I12:I15)+SUM(I18))-G32</f>
        <v>673081.23672737496</v>
      </c>
      <c r="K21" s="41" t="s">
        <v>94</v>
      </c>
      <c r="L21" s="35">
        <f>L7+L13</f>
        <v>368256.00000000006</v>
      </c>
    </row>
    <row r="22" spans="1:12" ht="14.25" customHeight="1" x14ac:dyDescent="0.2">
      <c r="A22" s="1" t="s">
        <v>250</v>
      </c>
      <c r="B22" s="1">
        <v>350</v>
      </c>
      <c r="C22" s="1">
        <f t="shared" si="2"/>
        <v>4200</v>
      </c>
    </row>
    <row r="23" spans="1:12" ht="14.25" customHeight="1" x14ac:dyDescent="0.2">
      <c r="A23" s="1" t="s">
        <v>259</v>
      </c>
      <c r="B23" s="1">
        <v>7000</v>
      </c>
      <c r="C23" s="1">
        <f>B23*C9</f>
        <v>84000</v>
      </c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22305.381499999996</v>
      </c>
      <c r="F25" s="80"/>
    </row>
    <row r="26" spans="1:12" ht="14.25" customHeight="1" x14ac:dyDescent="0.2">
      <c r="B26" s="19" t="s">
        <v>252</v>
      </c>
      <c r="C26" s="37">
        <f>SUM(C10:C25)</f>
        <v>413252.18150000001</v>
      </c>
    </row>
    <row r="27" spans="1:12" ht="14.25" customHeight="1" x14ac:dyDescent="0.2">
      <c r="B27" s="19" t="s">
        <v>64</v>
      </c>
      <c r="C27" s="37">
        <f>C26/C9</f>
        <v>34437.68179166667</v>
      </c>
      <c r="G27" s="98">
        <v>0.45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673081.23672737496</v>
      </c>
      <c r="E29" s="1">
        <v>2</v>
      </c>
      <c r="F29" s="1" t="s">
        <v>214</v>
      </c>
      <c r="G29" s="1">
        <f>DATA!B154</f>
        <v>54716.558923161436</v>
      </c>
      <c r="I29" s="11">
        <f>I21+G38</f>
        <v>967530.80640416383</v>
      </c>
    </row>
    <row r="30" spans="1:12" ht="14.25" customHeight="1" x14ac:dyDescent="0.2">
      <c r="A30" s="80" t="s">
        <v>4</v>
      </c>
      <c r="B30" s="80">
        <f>I21</f>
        <v>673081.23672737496</v>
      </c>
      <c r="C30" s="80"/>
      <c r="E30" s="1">
        <v>3</v>
      </c>
      <c r="F30" s="1" t="s">
        <v>214</v>
      </c>
      <c r="G30" s="1">
        <f>DATA!C154</f>
        <v>50516.446015552479</v>
      </c>
    </row>
    <row r="31" spans="1:12" ht="14.25" customHeight="1" x14ac:dyDescent="0.2">
      <c r="A31" s="80" t="s">
        <v>32</v>
      </c>
      <c r="B31" s="80">
        <f>L7</f>
        <v>18796.8</v>
      </c>
      <c r="C31" s="80"/>
      <c r="E31" s="1">
        <v>4</v>
      </c>
      <c r="F31" s="1" t="s">
        <v>214</v>
      </c>
      <c r="G31" s="1">
        <f>DATA!D154</f>
        <v>94295.953935450001</v>
      </c>
    </row>
    <row r="32" spans="1:12" ht="14.25" customHeight="1" x14ac:dyDescent="0.2">
      <c r="A32" s="80"/>
      <c r="B32" s="94">
        <f>B30/B31</f>
        <v>35.808288470770293</v>
      </c>
      <c r="C32" s="80" t="s">
        <v>38</v>
      </c>
      <c r="E32" s="1">
        <v>5</v>
      </c>
      <c r="F32" s="1" t="s">
        <v>214</v>
      </c>
      <c r="G32" s="1">
        <f>DATA!E154</f>
        <v>94920.610802624971</v>
      </c>
    </row>
    <row r="33" spans="1:7" ht="14.25" customHeight="1" x14ac:dyDescent="0.2">
      <c r="A33" s="80"/>
      <c r="B33" s="80"/>
      <c r="C33" s="80"/>
      <c r="D33" s="80"/>
      <c r="E33" s="80"/>
      <c r="F33" s="80"/>
    </row>
    <row r="34" spans="1:7" ht="14.25" customHeight="1" x14ac:dyDescent="0.2">
      <c r="A34" s="80"/>
      <c r="B34" s="80" t="s">
        <v>48</v>
      </c>
      <c r="C34" s="80"/>
    </row>
    <row r="35" spans="1:7" ht="14.25" customHeight="1" x14ac:dyDescent="0.2">
      <c r="A35" s="80"/>
      <c r="B35" s="80" t="s">
        <v>54</v>
      </c>
      <c r="C35" s="80"/>
    </row>
    <row r="36" spans="1:7" ht="14.25" customHeight="1" x14ac:dyDescent="0.2">
      <c r="A36" s="80" t="s">
        <v>4</v>
      </c>
      <c r="B36" s="80">
        <f>B30</f>
        <v>673081.23672737496</v>
      </c>
      <c r="C36" s="80"/>
    </row>
    <row r="37" spans="1:7" ht="14.25" customHeight="1" x14ac:dyDescent="0.2">
      <c r="A37" s="80" t="s">
        <v>60</v>
      </c>
      <c r="B37" s="80">
        <f>C27</f>
        <v>34437.68179166667</v>
      </c>
      <c r="C37" s="80"/>
    </row>
    <row r="38" spans="1:7" ht="14.25" customHeight="1" x14ac:dyDescent="0.2">
      <c r="A38" s="80"/>
      <c r="B38" s="94">
        <f>B36/B37</f>
        <v>19.544905513653045</v>
      </c>
      <c r="C38" s="80" t="s">
        <v>38</v>
      </c>
      <c r="G38" s="1">
        <f>SUM(G29:G37)</f>
        <v>294449.56967678887</v>
      </c>
    </row>
    <row r="39" spans="1:7" ht="14.25" customHeight="1" x14ac:dyDescent="0.2"/>
    <row r="40" spans="1:7" ht="14.25" customHeight="1" x14ac:dyDescent="0.2">
      <c r="A40" s="80"/>
      <c r="B40" s="80" t="s">
        <v>68</v>
      </c>
    </row>
    <row r="41" spans="1:7" ht="14.25" customHeight="1" x14ac:dyDescent="0.2">
      <c r="A41" s="80"/>
      <c r="B41" s="80" t="s">
        <v>71</v>
      </c>
    </row>
    <row r="42" spans="1:7" ht="14.25" customHeight="1" x14ac:dyDescent="0.2">
      <c r="A42" s="80" t="s">
        <v>4</v>
      </c>
      <c r="B42" s="80">
        <f>B30</f>
        <v>673081.23672737496</v>
      </c>
    </row>
    <row r="43" spans="1:7" ht="14.25" customHeight="1" x14ac:dyDescent="0.2">
      <c r="A43" s="80" t="s">
        <v>33</v>
      </c>
      <c r="B43" s="80">
        <f>F20</f>
        <v>599274.80640416383</v>
      </c>
    </row>
    <row r="44" spans="1:7" ht="14.25" customHeight="1" x14ac:dyDescent="0.2">
      <c r="A44" s="80"/>
      <c r="B44" s="32">
        <f>B42/B43</f>
        <v>1.1231595747634926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368256.00000000006</v>
      </c>
      <c r="C48" s="80"/>
    </row>
    <row r="49" spans="1:6" ht="14.25" customHeight="1" x14ac:dyDescent="0.2">
      <c r="A49" s="80" t="s">
        <v>39</v>
      </c>
      <c r="B49" s="80">
        <f>I29</f>
        <v>967530.80640416383</v>
      </c>
      <c r="C49" s="80"/>
    </row>
    <row r="50" spans="1:6" ht="14.25" customHeight="1" x14ac:dyDescent="0.2">
      <c r="A50" s="80"/>
      <c r="B50" s="77">
        <f>B48/B49</f>
        <v>0.38061423735811212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599274.80640416383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967530.80640416383</v>
      </c>
      <c r="C55" s="80"/>
    </row>
    <row r="56" spans="1:6" ht="14.25" customHeight="1" x14ac:dyDescent="0.2">
      <c r="A56" s="80"/>
      <c r="B56" s="77">
        <f>B54/B55</f>
        <v>0.61938576264188794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L7</f>
        <v>18796.8</v>
      </c>
    </row>
    <row r="61" spans="1:6" ht="14.25" customHeight="1" x14ac:dyDescent="0.2">
      <c r="A61" s="80" t="s">
        <v>107</v>
      </c>
      <c r="B61" s="80">
        <f>E2</f>
        <v>617053.81499999994</v>
      </c>
      <c r="F61" s="80"/>
    </row>
    <row r="62" spans="1:6" ht="14.25" customHeight="1" x14ac:dyDescent="0.2">
      <c r="A62" s="80"/>
      <c r="B62" s="32">
        <f>B60/B61</f>
        <v>3.0462172898161242E-2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3">B60/12</f>
        <v>1566.3999999999999</v>
      </c>
    </row>
    <row r="67" spans="1:6" ht="14.25" customHeight="1" x14ac:dyDescent="0.2">
      <c r="A67" s="80" t="s">
        <v>258</v>
      </c>
      <c r="B67" s="80">
        <f t="shared" si="3"/>
        <v>51421.151249999995</v>
      </c>
    </row>
    <row r="68" spans="1:6" ht="14.25" customHeight="1" x14ac:dyDescent="0.2">
      <c r="A68" s="80"/>
      <c r="B68" s="32">
        <f>B66/B67</f>
        <v>3.0462172898161239E-2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673081.23672737496</v>
      </c>
    </row>
    <row r="73" spans="1:6" ht="14.25" customHeight="1" x14ac:dyDescent="0.2">
      <c r="A73" s="80" t="s">
        <v>138</v>
      </c>
      <c r="B73" s="80">
        <f>E2</f>
        <v>617053.81499999994</v>
      </c>
    </row>
    <row r="74" spans="1:6" ht="14.25" customHeight="1" x14ac:dyDescent="0.2">
      <c r="A74" s="80"/>
      <c r="B74" s="77">
        <f>B72/B73</f>
        <v>1.0907982745838385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G38</f>
        <v>294449.56967678887</v>
      </c>
      <c r="C78" s="80"/>
    </row>
    <row r="79" spans="1:6" ht="14.25" customHeight="1" x14ac:dyDescent="0.2">
      <c r="A79" s="80" t="s">
        <v>33</v>
      </c>
      <c r="B79" s="80">
        <f>B43</f>
        <v>599274.80640416383</v>
      </c>
      <c r="C79" s="80"/>
    </row>
    <row r="80" spans="1:6" ht="14.25" customHeight="1" x14ac:dyDescent="0.2">
      <c r="A80" s="80"/>
      <c r="B80" s="77">
        <f>B78/B79</f>
        <v>0.4913431476346859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A91-B107</f>
        <v>448053.81499999994</v>
      </c>
    </row>
    <row r="91" spans="1:5" ht="14.25" customHeight="1" x14ac:dyDescent="0.2">
      <c r="A91" s="96">
        <f>E2</f>
        <v>617053.81499999994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4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4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148053.81499999994</v>
      </c>
      <c r="D95" s="24">
        <v>0.1</v>
      </c>
      <c r="E95" s="25">
        <f t="shared" si="4"/>
        <v>14805.381499999996</v>
      </c>
    </row>
    <row r="96" spans="1:5" ht="14.25" customHeight="1" x14ac:dyDescent="0.2">
      <c r="B96" s="22" t="s">
        <v>52</v>
      </c>
      <c r="C96" s="23">
        <f>IF((A90-C93-C94-C95)&gt;=250000,250000,(A90-C93-C94-C95))</f>
        <v>0</v>
      </c>
      <c r="D96" s="24">
        <v>0.15</v>
      </c>
      <c r="E96" s="25">
        <f t="shared" si="4"/>
        <v>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4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4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4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4"/>
        <v>0</v>
      </c>
    </row>
    <row r="101" spans="1:5" ht="14.25" customHeight="1" x14ac:dyDescent="0.35">
      <c r="E101" s="97">
        <f>SUM(E93:E100)</f>
        <v>22305.381499999996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B107" s="45">
        <f>SUM(B104:B106)</f>
        <v>169000</v>
      </c>
    </row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208" priority="1" operator="greaterThan">
      <formula>0.9999999999</formula>
    </cfRule>
    <cfRule type="cellIs" dxfId="207" priority="2" operator="lessThan">
      <formula>1</formula>
    </cfRule>
  </conditionalFormatting>
  <conditionalFormatting sqref="B38">
    <cfRule type="cellIs" dxfId="206" priority="3" operator="greaterThan">
      <formula>5.9999</formula>
    </cfRule>
    <cfRule type="cellIs" dxfId="205" priority="4" operator="lessThan">
      <formula>3</formula>
    </cfRule>
  </conditionalFormatting>
  <conditionalFormatting sqref="B44">
    <cfRule type="cellIs" dxfId="204" priority="5" operator="greaterThan">
      <formula>0.29</formula>
    </cfRule>
    <cfRule type="cellIs" dxfId="203" priority="6" operator="lessThan">
      <formula>0.05</formula>
    </cfRule>
    <cfRule type="cellIs" dxfId="202" priority="7" operator="greaterThan">
      <formula>0.049</formula>
    </cfRule>
  </conditionalFormatting>
  <conditionalFormatting sqref="B50">
    <cfRule type="cellIs" dxfId="201" priority="8" operator="greaterThan">
      <formula>0.49</formula>
    </cfRule>
    <cfRule type="cellIs" dxfId="200" priority="9" operator="lessThan">
      <formula>0.41</formula>
    </cfRule>
  </conditionalFormatting>
  <conditionalFormatting sqref="B56">
    <cfRule type="cellIs" dxfId="199" priority="10" operator="lessThan">
      <formula>0.41</formula>
    </cfRule>
    <cfRule type="cellIs" dxfId="198" priority="11" operator="greaterThan">
      <formula>0.59</formula>
    </cfRule>
  </conditionalFormatting>
  <conditionalFormatting sqref="B62">
    <cfRule type="cellIs" dxfId="197" priority="12" operator="greaterThan">
      <formula>0.39</formula>
    </cfRule>
    <cfRule type="cellIs" dxfId="196" priority="13" operator="lessThan">
      <formula>0.281</formula>
    </cfRule>
  </conditionalFormatting>
  <conditionalFormatting sqref="B68">
    <cfRule type="cellIs" dxfId="195" priority="14" operator="greaterThan">
      <formula>0.39</formula>
    </cfRule>
    <cfRule type="cellIs" dxfId="194" priority="15" operator="lessThan">
      <formula>0.281</formula>
    </cfRule>
  </conditionalFormatting>
  <conditionalFormatting sqref="B74">
    <cfRule type="cellIs" dxfId="193" priority="16" operator="lessThan">
      <formula>0.1</formula>
    </cfRule>
    <cfRule type="cellIs" dxfId="192" priority="17" operator="greaterThan">
      <formula>0.19</formula>
    </cfRule>
  </conditionalFormatting>
  <conditionalFormatting sqref="B80">
    <cfRule type="cellIs" dxfId="191" priority="18" operator="lessThan">
      <formula>0.3</formula>
    </cfRule>
    <cfRule type="cellIs" dxfId="190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000"/>
  <sheetViews>
    <sheetView workbookViewId="0"/>
  </sheetViews>
  <sheetFormatPr defaultColWidth="12.625" defaultRowHeight="15" customHeight="1" x14ac:dyDescent="0.2"/>
  <cols>
    <col min="1" max="1" width="15.625" customWidth="1"/>
    <col min="2" max="2" width="16.625" customWidth="1"/>
    <col min="3" max="3" width="13.75" customWidth="1"/>
    <col min="4" max="4" width="19.125" customWidth="1"/>
    <col min="5" max="5" width="17.3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17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DATA!B36</f>
        <v>6</v>
      </c>
      <c r="B2" s="11">
        <f>DATA!E36</f>
        <v>39564.728437500002</v>
      </c>
      <c r="C2" s="11">
        <f>DATA!F36</f>
        <v>474776.74125000002</v>
      </c>
      <c r="D2" s="11">
        <f>DATA!G36</f>
        <v>181374.03900000008</v>
      </c>
      <c r="E2" s="11">
        <f>DATA!H36</f>
        <v>656150.78025000007</v>
      </c>
      <c r="F2" s="11">
        <f>DATA!I36</f>
        <v>54679.231687500003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'5'!I21+F10</f>
        <v>911406.23895237502</v>
      </c>
      <c r="K4" s="19" t="s">
        <v>227</v>
      </c>
      <c r="L4" s="61">
        <f>DATA!G8</f>
        <v>20563.2</v>
      </c>
    </row>
    <row r="5" spans="1:12" ht="14.25" customHeight="1" x14ac:dyDescent="0.2">
      <c r="H5" s="19" t="s">
        <v>228</v>
      </c>
      <c r="I5" s="19" t="s">
        <v>157</v>
      </c>
      <c r="L5" s="19"/>
    </row>
    <row r="6" spans="1:12" ht="14.25" customHeight="1" x14ac:dyDescent="0.2"/>
    <row r="7" spans="1:12" ht="14.25" customHeight="1" x14ac:dyDescent="0.2">
      <c r="H7" s="19"/>
      <c r="I7" s="19" t="s">
        <v>229</v>
      </c>
      <c r="K7" s="14" t="s">
        <v>230</v>
      </c>
      <c r="L7" s="25">
        <f>SUM(L4:L5)</f>
        <v>20563.2</v>
      </c>
    </row>
    <row r="8" spans="1:12" ht="14.25" customHeight="1" x14ac:dyDescent="0.2">
      <c r="C8" s="39">
        <v>10</v>
      </c>
      <c r="H8" s="19" t="s">
        <v>231</v>
      </c>
      <c r="I8" s="19"/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  <c r="K9" s="19"/>
      <c r="L9" s="19" t="s">
        <v>234</v>
      </c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238325.00222500006</v>
      </c>
      <c r="K10" s="19" t="s">
        <v>227</v>
      </c>
      <c r="L10" s="61">
        <f>DATA!G18-SUM(DATA!G3:G8)</f>
        <v>328896.00000000006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L11" s="19"/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4" t="s">
        <v>242</v>
      </c>
      <c r="L13" s="25">
        <f>SUM(L10:L11)</f>
        <v>328896.00000000006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DATA!C66</f>
        <v>1000</v>
      </c>
      <c r="C15" s="1">
        <f>B15*C9</f>
        <v>12000</v>
      </c>
      <c r="H15" s="19" t="s">
        <v>244</v>
      </c>
      <c r="I15" s="19"/>
    </row>
    <row r="16" spans="1:12" ht="14.25" customHeight="1" x14ac:dyDescent="0.2"/>
    <row r="17" spans="1:12" ht="14.25" customHeight="1" x14ac:dyDescent="0.2">
      <c r="A17" s="1" t="s">
        <v>227</v>
      </c>
      <c r="B17" s="1">
        <f>C17/C9</f>
        <v>1713.6000000000001</v>
      </c>
      <c r="C17" s="88">
        <f>L7</f>
        <v>20563.2</v>
      </c>
      <c r="H17" s="19"/>
      <c r="I17" s="19" t="s">
        <v>245</v>
      </c>
    </row>
    <row r="18" spans="1:12" ht="14.25" customHeight="1" x14ac:dyDescent="0.2"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1">B19*$C$9</f>
        <v>24000</v>
      </c>
    </row>
    <row r="20" spans="1:12" ht="14.25" customHeight="1" x14ac:dyDescent="0.2">
      <c r="A20" s="1" t="s">
        <v>248</v>
      </c>
      <c r="B20" s="1">
        <v>2000</v>
      </c>
      <c r="C20" s="1">
        <f t="shared" si="1"/>
        <v>24000</v>
      </c>
      <c r="E20" s="80" t="s">
        <v>33</v>
      </c>
      <c r="F20" s="11">
        <f>I29-L21</f>
        <v>866702.34356785135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2">B21*C8</f>
        <v>0</v>
      </c>
      <c r="H21" s="89" t="str">
        <f>A30</f>
        <v>สินทรัพย์สภาพคล่อง</v>
      </c>
      <c r="I21" s="90">
        <f>(SUM(I4:I5)+SUM(I8:I9)+SUM(I12:I15)+SUM(I18))-G33</f>
        <v>789338.85905093746</v>
      </c>
      <c r="K21" s="41" t="s">
        <v>94</v>
      </c>
      <c r="L21" s="35">
        <f>L7+L13</f>
        <v>349459.20000000007</v>
      </c>
    </row>
    <row r="22" spans="1:12" ht="14.25" customHeight="1" x14ac:dyDescent="0.2">
      <c r="A22" s="1" t="s">
        <v>250</v>
      </c>
      <c r="B22" s="1">
        <v>350</v>
      </c>
      <c r="C22" s="1">
        <f t="shared" si="2"/>
        <v>4200</v>
      </c>
    </row>
    <row r="23" spans="1:12" ht="14.25" customHeight="1" x14ac:dyDescent="0.2">
      <c r="A23" s="1" t="s">
        <v>259</v>
      </c>
      <c r="B23" s="1">
        <v>7000</v>
      </c>
      <c r="C23" s="1">
        <f>B23*C9</f>
        <v>84000</v>
      </c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23984.578025000006</v>
      </c>
      <c r="F25" s="80"/>
    </row>
    <row r="26" spans="1:12" ht="14.25" customHeight="1" x14ac:dyDescent="0.2">
      <c r="B26" s="19" t="s">
        <v>252</v>
      </c>
      <c r="C26" s="37">
        <f>SUM(C10:C25)</f>
        <v>417825.77802500001</v>
      </c>
    </row>
    <row r="27" spans="1:12" ht="14.25" customHeight="1" x14ac:dyDescent="0.2">
      <c r="B27" s="19" t="s">
        <v>64</v>
      </c>
      <c r="C27" s="37">
        <f>C26/C9</f>
        <v>34818.81483541667</v>
      </c>
      <c r="G27" s="98">
        <v>0.5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789338.85905093746</v>
      </c>
      <c r="E29" s="1">
        <v>2</v>
      </c>
      <c r="F29" s="1" t="s">
        <v>214</v>
      </c>
      <c r="G29" s="1">
        <f>DATA!B155</f>
        <v>56631.638485472075</v>
      </c>
      <c r="I29" s="11">
        <f>I21+G38</f>
        <v>1216161.5435678514</v>
      </c>
    </row>
    <row r="30" spans="1:12" ht="14.25" customHeight="1" x14ac:dyDescent="0.2">
      <c r="A30" s="80" t="s">
        <v>4</v>
      </c>
      <c r="B30" s="80">
        <f>I21</f>
        <v>789338.85905093746</v>
      </c>
      <c r="C30" s="80"/>
      <c r="E30" s="1">
        <v>3</v>
      </c>
      <c r="F30" s="1" t="s">
        <v>214</v>
      </c>
      <c r="G30" s="1">
        <f>DATA!C155</f>
        <v>52284.521626096815</v>
      </c>
    </row>
    <row r="31" spans="1:12" ht="14.25" customHeight="1" x14ac:dyDescent="0.2">
      <c r="A31" s="80" t="s">
        <v>32</v>
      </c>
      <c r="B31" s="80">
        <f>L7</f>
        <v>20563.2</v>
      </c>
      <c r="C31" s="80"/>
      <c r="E31" s="1">
        <v>4</v>
      </c>
      <c r="F31" s="1" t="s">
        <v>214</v>
      </c>
      <c r="G31" s="1">
        <f>DATA!D155</f>
        <v>97596.312323190738</v>
      </c>
    </row>
    <row r="32" spans="1:12" ht="14.25" customHeight="1" x14ac:dyDescent="0.2">
      <c r="A32" s="80"/>
      <c r="B32" s="94">
        <f>B30/B31</f>
        <v>38.385993378994392</v>
      </c>
      <c r="C32" s="80" t="s">
        <v>38</v>
      </c>
      <c r="E32" s="1">
        <v>5</v>
      </c>
      <c r="F32" s="1" t="s">
        <v>214</v>
      </c>
      <c r="G32" s="1">
        <f>DATA!E155</f>
        <v>98242.83218071684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DATA!F155</f>
        <v>122067.37990143753</v>
      </c>
    </row>
    <row r="34" spans="1:7" ht="14.25" customHeight="1" x14ac:dyDescent="0.2">
      <c r="A34" s="80"/>
      <c r="B34" s="80" t="s">
        <v>48</v>
      </c>
      <c r="C34" s="80"/>
    </row>
    <row r="35" spans="1:7" ht="14.25" customHeight="1" x14ac:dyDescent="0.2">
      <c r="A35" s="80"/>
      <c r="B35" s="80" t="s">
        <v>54</v>
      </c>
      <c r="C35" s="80"/>
    </row>
    <row r="36" spans="1:7" ht="14.25" customHeight="1" x14ac:dyDescent="0.2">
      <c r="A36" s="80" t="s">
        <v>4</v>
      </c>
      <c r="B36" s="80">
        <f>B30</f>
        <v>789338.85905093746</v>
      </c>
      <c r="C36" s="80"/>
    </row>
    <row r="37" spans="1:7" ht="14.25" customHeight="1" x14ac:dyDescent="0.2">
      <c r="A37" s="80" t="s">
        <v>60</v>
      </c>
      <c r="B37" s="80">
        <f>C27</f>
        <v>34818.81483541667</v>
      </c>
      <c r="C37" s="80"/>
    </row>
    <row r="38" spans="1:7" ht="14.25" customHeight="1" x14ac:dyDescent="0.2">
      <c r="A38" s="80"/>
      <c r="B38" s="94">
        <f>B36/B37</f>
        <v>22.669894503360446</v>
      </c>
      <c r="C38" s="80" t="s">
        <v>38</v>
      </c>
      <c r="G38" s="1">
        <f>SUM(G29:G37)</f>
        <v>426822.68451691396</v>
      </c>
    </row>
    <row r="39" spans="1:7" ht="14.25" customHeight="1" x14ac:dyDescent="0.2"/>
    <row r="40" spans="1:7" ht="14.25" customHeight="1" x14ac:dyDescent="0.2">
      <c r="A40" s="80"/>
      <c r="B40" s="80" t="s">
        <v>68</v>
      </c>
    </row>
    <row r="41" spans="1:7" ht="14.25" customHeight="1" x14ac:dyDescent="0.2">
      <c r="A41" s="80"/>
      <c r="B41" s="80" t="s">
        <v>71</v>
      </c>
    </row>
    <row r="42" spans="1:7" ht="14.25" customHeight="1" x14ac:dyDescent="0.2">
      <c r="A42" s="80" t="s">
        <v>4</v>
      </c>
      <c r="B42" s="80">
        <f>B30</f>
        <v>789338.85905093746</v>
      </c>
    </row>
    <row r="43" spans="1:7" ht="14.25" customHeight="1" x14ac:dyDescent="0.2">
      <c r="A43" s="80" t="s">
        <v>33</v>
      </c>
      <c r="B43" s="80">
        <f>F20</f>
        <v>866702.34356785135</v>
      </c>
    </row>
    <row r="44" spans="1:7" ht="14.25" customHeight="1" x14ac:dyDescent="0.2">
      <c r="A44" s="80"/>
      <c r="B44" s="77">
        <f>B42/B43</f>
        <v>0.91073811546598482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349459.20000000007</v>
      </c>
      <c r="C48" s="80"/>
    </row>
    <row r="49" spans="1:6" ht="14.25" customHeight="1" x14ac:dyDescent="0.2">
      <c r="A49" s="80" t="s">
        <v>39</v>
      </c>
      <c r="B49" s="80">
        <f>I29</f>
        <v>1216161.5435678514</v>
      </c>
      <c r="C49" s="80"/>
    </row>
    <row r="50" spans="1:6" ht="14.25" customHeight="1" x14ac:dyDescent="0.2">
      <c r="A50" s="80"/>
      <c r="B50" s="77">
        <f>B48/B49</f>
        <v>0.2873460370854945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866702.34356785135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1216161.5435678514</v>
      </c>
      <c r="C55" s="80"/>
    </row>
    <row r="56" spans="1:6" ht="14.25" customHeight="1" x14ac:dyDescent="0.2">
      <c r="A56" s="80"/>
      <c r="B56" s="77">
        <f>B54/B55</f>
        <v>0.71265396291450545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L7</f>
        <v>20563.2</v>
      </c>
    </row>
    <row r="61" spans="1:6" ht="14.25" customHeight="1" x14ac:dyDescent="0.2">
      <c r="A61" s="80" t="s">
        <v>107</v>
      </c>
      <c r="B61" s="80">
        <f>E2</f>
        <v>656150.78025000007</v>
      </c>
      <c r="F61" s="80"/>
    </row>
    <row r="62" spans="1:6" ht="14.25" customHeight="1" x14ac:dyDescent="0.2">
      <c r="A62" s="80"/>
      <c r="B62" s="32">
        <f>B60/B61</f>
        <v>3.1339138226986814E-2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3">B60/12</f>
        <v>1713.6000000000001</v>
      </c>
    </row>
    <row r="67" spans="1:6" ht="14.25" customHeight="1" x14ac:dyDescent="0.2">
      <c r="A67" s="80" t="s">
        <v>258</v>
      </c>
      <c r="B67" s="80">
        <f t="shared" si="3"/>
        <v>54679.231687500003</v>
      </c>
    </row>
    <row r="68" spans="1:6" ht="14.25" customHeight="1" x14ac:dyDescent="0.2">
      <c r="A68" s="80"/>
      <c r="B68" s="32">
        <f>B66/B67</f>
        <v>3.1339138226986814E-2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789338.85905093746</v>
      </c>
    </row>
    <row r="73" spans="1:6" ht="14.25" customHeight="1" x14ac:dyDescent="0.2">
      <c r="A73" s="80" t="s">
        <v>138</v>
      </c>
      <c r="B73" s="80">
        <f>E2</f>
        <v>656150.78025000007</v>
      </c>
    </row>
    <row r="74" spans="1:6" ht="14.25" customHeight="1" x14ac:dyDescent="0.2">
      <c r="A74" s="80"/>
      <c r="B74" s="77">
        <f>B72/B73</f>
        <v>1.2029839524845058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G38</f>
        <v>426822.68451691396</v>
      </c>
      <c r="C78" s="80"/>
    </row>
    <row r="79" spans="1:6" ht="14.25" customHeight="1" x14ac:dyDescent="0.2">
      <c r="A79" s="80" t="s">
        <v>33</v>
      </c>
      <c r="B79" s="80">
        <f>B43</f>
        <v>866702.34356785135</v>
      </c>
      <c r="C79" s="80"/>
    </row>
    <row r="80" spans="1:6" ht="14.25" customHeight="1" x14ac:dyDescent="0.2">
      <c r="A80" s="80"/>
      <c r="B80" s="77">
        <f>B78/B79</f>
        <v>0.49246744015928623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A91-B108</f>
        <v>464845.78025000007</v>
      </c>
    </row>
    <row r="91" spans="1:5" ht="14.25" customHeight="1" x14ac:dyDescent="0.2">
      <c r="A91" s="96">
        <f>E2</f>
        <v>656150.78025000007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4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4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164845.78025000007</v>
      </c>
      <c r="D95" s="24">
        <v>0.1</v>
      </c>
      <c r="E95" s="25">
        <f t="shared" si="4"/>
        <v>16484.578025000006</v>
      </c>
    </row>
    <row r="96" spans="1:5" ht="14.25" customHeight="1" x14ac:dyDescent="0.2">
      <c r="B96" s="22" t="s">
        <v>52</v>
      </c>
      <c r="C96" s="23">
        <f>IF((A90-C93-C94-C95)&gt;=250000,250000,(A90-C93-C94-C95))</f>
        <v>0</v>
      </c>
      <c r="D96" s="24">
        <v>0.15</v>
      </c>
      <c r="E96" s="25">
        <f t="shared" si="4"/>
        <v>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4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4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4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4"/>
        <v>0</v>
      </c>
    </row>
    <row r="101" spans="1:5" ht="14.25" customHeight="1" x14ac:dyDescent="0.35">
      <c r="E101" s="97">
        <f>SUM(E93:E100)</f>
        <v>23984.578025000006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A107" s="19" t="s">
        <v>211</v>
      </c>
      <c r="B107" s="19">
        <f>DATA!E137</f>
        <v>22305</v>
      </c>
    </row>
    <row r="108" spans="1:5" ht="14.25" customHeight="1" x14ac:dyDescent="0.2">
      <c r="B108" s="45">
        <f>SUM(B104:B107)</f>
        <v>191305</v>
      </c>
    </row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189" priority="1" operator="greaterThan">
      <formula>0.9999999999</formula>
    </cfRule>
    <cfRule type="cellIs" dxfId="188" priority="2" operator="lessThan">
      <formula>1</formula>
    </cfRule>
  </conditionalFormatting>
  <conditionalFormatting sqref="B38">
    <cfRule type="cellIs" dxfId="187" priority="3" operator="greaterThan">
      <formula>5.9999</formula>
    </cfRule>
    <cfRule type="cellIs" dxfId="186" priority="4" operator="lessThan">
      <formula>3</formula>
    </cfRule>
  </conditionalFormatting>
  <conditionalFormatting sqref="B44">
    <cfRule type="cellIs" dxfId="185" priority="5" operator="greaterThan">
      <formula>0.29</formula>
    </cfRule>
    <cfRule type="cellIs" dxfId="184" priority="6" operator="lessThan">
      <formula>0.05</formula>
    </cfRule>
    <cfRule type="cellIs" dxfId="183" priority="7" operator="greaterThan">
      <formula>0.049</formula>
    </cfRule>
  </conditionalFormatting>
  <conditionalFormatting sqref="B50">
    <cfRule type="cellIs" dxfId="182" priority="8" operator="greaterThan">
      <formula>0.49</formula>
    </cfRule>
    <cfRule type="cellIs" dxfId="181" priority="9" operator="lessThan">
      <formula>0.41</formula>
    </cfRule>
  </conditionalFormatting>
  <conditionalFormatting sqref="B56">
    <cfRule type="cellIs" dxfId="180" priority="10" operator="lessThan">
      <formula>0.41</formula>
    </cfRule>
    <cfRule type="cellIs" dxfId="179" priority="11" operator="greaterThan">
      <formula>0.59</formula>
    </cfRule>
  </conditionalFormatting>
  <conditionalFormatting sqref="B62">
    <cfRule type="cellIs" dxfId="178" priority="12" operator="greaterThan">
      <formula>0.39</formula>
    </cfRule>
    <cfRule type="cellIs" dxfId="177" priority="13" operator="lessThan">
      <formula>0.281</formula>
    </cfRule>
  </conditionalFormatting>
  <conditionalFormatting sqref="B68">
    <cfRule type="cellIs" dxfId="176" priority="14" operator="greaterThan">
      <formula>0.39</formula>
    </cfRule>
    <cfRule type="cellIs" dxfId="175" priority="15" operator="lessThan">
      <formula>0.281</formula>
    </cfRule>
  </conditionalFormatting>
  <conditionalFormatting sqref="B74">
    <cfRule type="cellIs" dxfId="174" priority="16" operator="lessThan">
      <formula>0.1</formula>
    </cfRule>
    <cfRule type="cellIs" dxfId="173" priority="17" operator="greaterThan">
      <formula>0.19</formula>
    </cfRule>
  </conditionalFormatting>
  <conditionalFormatting sqref="B80">
    <cfRule type="cellIs" dxfId="172" priority="18" operator="lessThan">
      <formula>0.3</formula>
    </cfRule>
    <cfRule type="cellIs" dxfId="171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625" customWidth="1"/>
    <col min="3" max="3" width="13.75" customWidth="1"/>
    <col min="4" max="4" width="19.125" customWidth="1"/>
    <col min="5" max="5" width="17.3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23.62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DATA!B37</f>
        <v>7</v>
      </c>
      <c r="B2" s="11">
        <f>DATA!E37</f>
        <v>41542.964859375003</v>
      </c>
      <c r="C2" s="11">
        <f>DATA!F37</f>
        <v>498515.57831250003</v>
      </c>
      <c r="D2" s="11">
        <f>DATA!G37</f>
        <v>217648.84680000009</v>
      </c>
      <c r="E2" s="11">
        <f>DATA!H37</f>
        <v>716164.42511250009</v>
      </c>
      <c r="F2" s="11">
        <f>DATA!I37</f>
        <v>59680.368759375007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'6'!I21+F10</f>
        <v>924896.22039656248</v>
      </c>
      <c r="K4" s="19" t="s">
        <v>227</v>
      </c>
      <c r="L4" s="61">
        <f>DATA!G9</f>
        <v>22310.400000000001</v>
      </c>
    </row>
    <row r="5" spans="1:12" ht="14.25" customHeight="1" x14ac:dyDescent="0.2">
      <c r="H5" s="19" t="s">
        <v>228</v>
      </c>
      <c r="I5" s="19" t="s">
        <v>157</v>
      </c>
      <c r="K5" s="1" t="s">
        <v>194</v>
      </c>
      <c r="L5" s="61">
        <f>DATA!C96</f>
        <v>150444</v>
      </c>
    </row>
    <row r="6" spans="1:12" ht="14.25" customHeight="1" x14ac:dyDescent="0.2"/>
    <row r="7" spans="1:12" ht="14.25" customHeight="1" x14ac:dyDescent="0.2">
      <c r="H7" s="19"/>
      <c r="I7" s="19" t="s">
        <v>229</v>
      </c>
      <c r="K7" s="14" t="s">
        <v>230</v>
      </c>
      <c r="L7" s="25">
        <f>SUM(L4:L5)</f>
        <v>172754.4</v>
      </c>
    </row>
    <row r="8" spans="1:12" ht="14.25" customHeight="1" x14ac:dyDescent="0.2">
      <c r="C8" s="39">
        <v>10</v>
      </c>
      <c r="H8" s="19" t="s">
        <v>231</v>
      </c>
      <c r="I8" s="19"/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  <c r="K9" s="19"/>
      <c r="L9" s="19" t="s">
        <v>234</v>
      </c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135557.36134562502</v>
      </c>
      <c r="K10" s="19" t="s">
        <v>227</v>
      </c>
      <c r="L10" s="61">
        <f>DATA!G18-SUM(DATA!G3:G9)</f>
        <v>306585.60000000009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" t="s">
        <v>194</v>
      </c>
      <c r="L11" s="61">
        <f>DATA!C103-L5</f>
        <v>902664</v>
      </c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4" t="s">
        <v>242</v>
      </c>
      <c r="L13" s="25">
        <f>SUM(L10:L11)</f>
        <v>1209249.6000000001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DATA!C66</f>
        <v>1000</v>
      </c>
      <c r="C15" s="1">
        <f>B15*C9</f>
        <v>12000</v>
      </c>
      <c r="H15" s="19" t="s">
        <v>244</v>
      </c>
      <c r="I15" s="19"/>
    </row>
    <row r="16" spans="1:12" ht="14.25" customHeight="1" x14ac:dyDescent="0.2">
      <c r="A16" s="1" t="s">
        <v>227</v>
      </c>
      <c r="B16" s="1">
        <f>C16/C9</f>
        <v>1859.2</v>
      </c>
      <c r="C16" s="88">
        <f t="shared" ref="C16:C17" si="1">L4</f>
        <v>22310.400000000001</v>
      </c>
    </row>
    <row r="17" spans="1:12" ht="14.25" customHeight="1" x14ac:dyDescent="0.2">
      <c r="A17" s="1" t="s">
        <v>194</v>
      </c>
      <c r="B17" s="1">
        <f>C17/12</f>
        <v>12537</v>
      </c>
      <c r="C17" s="88">
        <f t="shared" si="1"/>
        <v>150444</v>
      </c>
      <c r="H17" s="19"/>
      <c r="I17" s="19" t="s">
        <v>245</v>
      </c>
    </row>
    <row r="18" spans="1:12" ht="14.25" customHeight="1" x14ac:dyDescent="0.2"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2">B19*$C$9</f>
        <v>24000</v>
      </c>
    </row>
    <row r="20" spans="1:12" ht="14.25" customHeight="1" x14ac:dyDescent="0.2">
      <c r="A20" s="1" t="s">
        <v>248</v>
      </c>
      <c r="B20" s="1">
        <v>2000</v>
      </c>
      <c r="C20" s="1">
        <f t="shared" si="2"/>
        <v>24000</v>
      </c>
      <c r="E20" s="80" t="s">
        <v>33</v>
      </c>
      <c r="F20" s="11">
        <f>I30-L21</f>
        <v>805038.82812156854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3">B21*C8</f>
        <v>0</v>
      </c>
      <c r="H21" s="89" t="str">
        <f>A30</f>
        <v>สินทรัพย์สภาพคล่อง</v>
      </c>
      <c r="I21" s="90">
        <f>(SUM(I4:I5)+SUM(I8:I9)+SUM(I12:I15)+SUM(I18))-G34-I23</f>
        <v>592022.09612717875</v>
      </c>
      <c r="K21" s="41" t="s">
        <v>94</v>
      </c>
      <c r="L21" s="35">
        <f>L7+L13</f>
        <v>1382004</v>
      </c>
    </row>
    <row r="22" spans="1:12" ht="14.25" customHeight="1" x14ac:dyDescent="0.2">
      <c r="A22" s="1" t="s">
        <v>250</v>
      </c>
      <c r="B22" s="1">
        <v>350</v>
      </c>
      <c r="C22" s="1">
        <f t="shared" si="3"/>
        <v>4200</v>
      </c>
    </row>
    <row r="23" spans="1:12" ht="14.25" customHeight="1" x14ac:dyDescent="0.2">
      <c r="A23" s="1" t="s">
        <v>259</v>
      </c>
      <c r="B23" s="1">
        <v>7000</v>
      </c>
      <c r="C23" s="1">
        <f>B23*C9</f>
        <v>84000</v>
      </c>
      <c r="H23" s="1" t="s">
        <v>199</v>
      </c>
      <c r="I23" s="11">
        <f>DATA!C98</f>
        <v>273500</v>
      </c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34574.663766875012</v>
      </c>
      <c r="F25" s="80"/>
    </row>
    <row r="26" spans="1:12" ht="14.25" customHeight="1" x14ac:dyDescent="0.2">
      <c r="B26" s="19" t="s">
        <v>252</v>
      </c>
      <c r="C26" s="37">
        <f>SUM(C10:C25)</f>
        <v>580607.06376687507</v>
      </c>
    </row>
    <row r="27" spans="1:12" ht="14.25" customHeight="1" x14ac:dyDescent="0.2">
      <c r="B27" s="19" t="s">
        <v>64</v>
      </c>
      <c r="C27" s="37">
        <f>C26/C9</f>
        <v>48383.921980572923</v>
      </c>
      <c r="G27" s="98">
        <v>0.4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592022.09612717875</v>
      </c>
      <c r="E29" s="1">
        <v>2</v>
      </c>
      <c r="F29" s="1" t="s">
        <v>214</v>
      </c>
      <c r="G29" s="1">
        <f>DATA!B156</f>
        <v>58613.745832463603</v>
      </c>
      <c r="I29" s="88">
        <f>DATA!C90</f>
        <v>1094000</v>
      </c>
    </row>
    <row r="30" spans="1:12" ht="14.25" customHeight="1" x14ac:dyDescent="0.2">
      <c r="A30" s="80" t="s">
        <v>4</v>
      </c>
      <c r="B30" s="80">
        <f>I21</f>
        <v>592022.09612717875</v>
      </c>
      <c r="C30" s="80"/>
      <c r="E30" s="1">
        <v>3</v>
      </c>
      <c r="F30" s="1" t="s">
        <v>214</v>
      </c>
      <c r="G30" s="1">
        <f>DATA!C156</f>
        <v>54114.479883010201</v>
      </c>
      <c r="I30" s="11">
        <f>I21+G38+I29</f>
        <v>2187042.8281215685</v>
      </c>
    </row>
    <row r="31" spans="1:12" ht="14.25" customHeight="1" x14ac:dyDescent="0.2">
      <c r="A31" s="80" t="s">
        <v>32</v>
      </c>
      <c r="B31" s="80">
        <f>L7</f>
        <v>172754.4</v>
      </c>
      <c r="C31" s="80"/>
      <c r="E31" s="1">
        <v>4</v>
      </c>
      <c r="F31" s="1" t="s">
        <v>214</v>
      </c>
      <c r="G31" s="1">
        <f>DATA!D156</f>
        <v>101012.18325450241</v>
      </c>
    </row>
    <row r="32" spans="1:12" ht="14.25" customHeight="1" x14ac:dyDescent="0.2">
      <c r="A32" s="80"/>
      <c r="B32" s="94">
        <f>B30/B31</f>
        <v>3.426958133206325</v>
      </c>
      <c r="C32" s="80" t="s">
        <v>38</v>
      </c>
      <c r="E32" s="1">
        <v>5</v>
      </c>
      <c r="F32" s="1" t="s">
        <v>214</v>
      </c>
      <c r="G32" s="1">
        <f>DATA!E156</f>
        <v>101681.33130704191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DATA!F156</f>
        <v>126224.86744798784</v>
      </c>
    </row>
    <row r="34" spans="1:7" ht="14.25" customHeight="1" x14ac:dyDescent="0.2">
      <c r="A34" s="80"/>
      <c r="B34" s="80" t="s">
        <v>48</v>
      </c>
      <c r="C34" s="80"/>
      <c r="E34" s="1">
        <v>7</v>
      </c>
      <c r="F34" s="1" t="s">
        <v>213</v>
      </c>
      <c r="G34" s="1">
        <f>DATA!G156</f>
        <v>59374.124269383763</v>
      </c>
    </row>
    <row r="35" spans="1:7" ht="14.25" customHeight="1" x14ac:dyDescent="0.2">
      <c r="A35" s="80"/>
      <c r="B35" s="80" t="s">
        <v>54</v>
      </c>
      <c r="C35" s="80"/>
    </row>
    <row r="36" spans="1:7" ht="14.25" customHeight="1" x14ac:dyDescent="0.2">
      <c r="A36" s="80" t="s">
        <v>4</v>
      </c>
      <c r="B36" s="80">
        <f>B30</f>
        <v>592022.09612717875</v>
      </c>
      <c r="C36" s="80"/>
    </row>
    <row r="37" spans="1:7" ht="14.25" customHeight="1" x14ac:dyDescent="0.2">
      <c r="A37" s="80" t="s">
        <v>60</v>
      </c>
      <c r="B37" s="80">
        <f>C27</f>
        <v>48383.921980572923</v>
      </c>
      <c r="C37" s="80"/>
    </row>
    <row r="38" spans="1:7" ht="14.25" customHeight="1" x14ac:dyDescent="0.2">
      <c r="A38" s="80"/>
      <c r="B38" s="94">
        <f>B36/B37</f>
        <v>12.235926148460784</v>
      </c>
      <c r="C38" s="80" t="s">
        <v>38</v>
      </c>
      <c r="G38" s="1">
        <f>SUM(G29:G37)</f>
        <v>501020.73199438973</v>
      </c>
    </row>
    <row r="39" spans="1:7" ht="14.25" customHeight="1" x14ac:dyDescent="0.2"/>
    <row r="40" spans="1:7" ht="14.25" customHeight="1" x14ac:dyDescent="0.2">
      <c r="A40" s="80"/>
      <c r="B40" s="80" t="s">
        <v>68</v>
      </c>
    </row>
    <row r="41" spans="1:7" ht="14.25" customHeight="1" x14ac:dyDescent="0.2">
      <c r="A41" s="80"/>
      <c r="B41" s="80" t="s">
        <v>71</v>
      </c>
    </row>
    <row r="42" spans="1:7" ht="14.25" customHeight="1" x14ac:dyDescent="0.2">
      <c r="A42" s="80" t="s">
        <v>4</v>
      </c>
      <c r="B42" s="80">
        <f>B30</f>
        <v>592022.09612717875</v>
      </c>
    </row>
    <row r="43" spans="1:7" ht="14.25" customHeight="1" x14ac:dyDescent="0.2">
      <c r="A43" s="80" t="s">
        <v>33</v>
      </c>
      <c r="B43" s="80">
        <f>F20</f>
        <v>805038.82812156854</v>
      </c>
    </row>
    <row r="44" spans="1:7" ht="14.25" customHeight="1" x14ac:dyDescent="0.2">
      <c r="A44" s="80"/>
      <c r="B44" s="77">
        <f>B42/B43</f>
        <v>0.73539570446380731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1382004</v>
      </c>
      <c r="C48" s="80"/>
    </row>
    <row r="49" spans="1:6" ht="14.25" customHeight="1" x14ac:dyDescent="0.2">
      <c r="A49" s="80" t="s">
        <v>39</v>
      </c>
      <c r="B49" s="80">
        <f>I30</f>
        <v>2187042.8281215685</v>
      </c>
      <c r="C49" s="80"/>
    </row>
    <row r="50" spans="1:6" ht="14.25" customHeight="1" x14ac:dyDescent="0.2">
      <c r="A50" s="80"/>
      <c r="B50" s="77">
        <f>B48/B49</f>
        <v>0.631905320842295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805038.82812156854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2187042.8281215685</v>
      </c>
      <c r="C55" s="80"/>
    </row>
    <row r="56" spans="1:6" ht="14.25" customHeight="1" x14ac:dyDescent="0.2">
      <c r="A56" s="80"/>
      <c r="B56" s="77">
        <f>B54/B55</f>
        <v>0.368094679157705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L7</f>
        <v>172754.4</v>
      </c>
    </row>
    <row r="61" spans="1:6" ht="14.25" customHeight="1" x14ac:dyDescent="0.2">
      <c r="A61" s="80" t="s">
        <v>107</v>
      </c>
      <c r="B61" s="80">
        <f>E2</f>
        <v>716164.42511250009</v>
      </c>
      <c r="F61" s="80"/>
    </row>
    <row r="62" spans="1:6" ht="14.25" customHeight="1" x14ac:dyDescent="0.2">
      <c r="A62" s="80"/>
      <c r="B62" s="32">
        <f>B60/B61</f>
        <v>0.24122169985316225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4">B60/12</f>
        <v>14396.199999999999</v>
      </c>
    </row>
    <row r="67" spans="1:6" ht="14.25" customHeight="1" x14ac:dyDescent="0.2">
      <c r="A67" s="80" t="s">
        <v>258</v>
      </c>
      <c r="B67" s="80">
        <f t="shared" si="4"/>
        <v>59680.368759375007</v>
      </c>
    </row>
    <row r="68" spans="1:6" ht="14.25" customHeight="1" x14ac:dyDescent="0.2">
      <c r="A68" s="80"/>
      <c r="B68" s="32">
        <f>B66/B67</f>
        <v>0.24122169985316225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592022.09612717875</v>
      </c>
    </row>
    <row r="73" spans="1:6" ht="14.25" customHeight="1" x14ac:dyDescent="0.2">
      <c r="A73" s="80" t="s">
        <v>138</v>
      </c>
      <c r="B73" s="80">
        <f>E2</f>
        <v>716164.42511250009</v>
      </c>
    </row>
    <row r="74" spans="1:6" ht="14.25" customHeight="1" x14ac:dyDescent="0.2">
      <c r="A74" s="80"/>
      <c r="B74" s="77">
        <f>B72/B73</f>
        <v>0.82665666621764944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G38</f>
        <v>501020.73199438973</v>
      </c>
      <c r="C78" s="80"/>
    </row>
    <row r="79" spans="1:6" ht="14.25" customHeight="1" x14ac:dyDescent="0.2">
      <c r="A79" s="80" t="s">
        <v>33</v>
      </c>
      <c r="B79" s="80">
        <f>B43</f>
        <v>805038.82812156854</v>
      </c>
      <c r="C79" s="80"/>
    </row>
    <row r="80" spans="1:6" ht="14.25" customHeight="1" x14ac:dyDescent="0.2">
      <c r="A80" s="80"/>
      <c r="B80" s="77">
        <f>B78/B79</f>
        <v>0.62235598395103853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A91-B107</f>
        <v>547164.42511250009</v>
      </c>
    </row>
    <row r="91" spans="1:5" ht="14.25" customHeight="1" x14ac:dyDescent="0.2">
      <c r="A91" s="96">
        <f>E2</f>
        <v>716164.42511250009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5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5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200000</v>
      </c>
      <c r="D95" s="24">
        <v>0.1</v>
      </c>
      <c r="E95" s="25">
        <f t="shared" si="5"/>
        <v>20000</v>
      </c>
    </row>
    <row r="96" spans="1:5" ht="14.25" customHeight="1" x14ac:dyDescent="0.2">
      <c r="B96" s="22" t="s">
        <v>52</v>
      </c>
      <c r="C96" s="23">
        <f>IF((A90-C93-C94-C95)&gt;=250000,250000,(A90-C93-C94-C95))</f>
        <v>47164.425112500088</v>
      </c>
      <c r="D96" s="24">
        <v>0.15</v>
      </c>
      <c r="E96" s="25">
        <f t="shared" si="5"/>
        <v>7074.6637668750127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5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5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5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5"/>
        <v>0</v>
      </c>
    </row>
    <row r="101" spans="1:5" ht="14.25" customHeight="1" x14ac:dyDescent="0.35">
      <c r="E101" s="97">
        <f>SUM(E93:E100)</f>
        <v>34574.663766875012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B107" s="45">
        <f>SUM(B104:B106)</f>
        <v>169000</v>
      </c>
    </row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170" priority="1" operator="greaterThan">
      <formula>0.9999999999</formula>
    </cfRule>
    <cfRule type="cellIs" dxfId="169" priority="2" operator="lessThan">
      <formula>1</formula>
    </cfRule>
  </conditionalFormatting>
  <conditionalFormatting sqref="B38">
    <cfRule type="cellIs" dxfId="168" priority="3" operator="greaterThan">
      <formula>5.9999</formula>
    </cfRule>
    <cfRule type="cellIs" dxfId="167" priority="4" operator="lessThan">
      <formula>3</formula>
    </cfRule>
  </conditionalFormatting>
  <conditionalFormatting sqref="B44">
    <cfRule type="cellIs" dxfId="166" priority="5" operator="greaterThan">
      <formula>0.29</formula>
    </cfRule>
    <cfRule type="cellIs" dxfId="165" priority="6" operator="lessThan">
      <formula>0.05</formula>
    </cfRule>
    <cfRule type="cellIs" dxfId="164" priority="7" operator="greaterThan">
      <formula>0.049</formula>
    </cfRule>
  </conditionalFormatting>
  <conditionalFormatting sqref="B50">
    <cfRule type="cellIs" dxfId="163" priority="8" operator="greaterThan">
      <formula>0.49</formula>
    </cfRule>
    <cfRule type="cellIs" dxfId="162" priority="9" operator="lessThan">
      <formula>0.41</formula>
    </cfRule>
  </conditionalFormatting>
  <conditionalFormatting sqref="B56">
    <cfRule type="cellIs" dxfId="161" priority="10" operator="lessThan">
      <formula>0.41</formula>
    </cfRule>
    <cfRule type="cellIs" dxfId="160" priority="11" operator="greaterThan">
      <formula>0.59</formula>
    </cfRule>
  </conditionalFormatting>
  <conditionalFormatting sqref="B62">
    <cfRule type="cellIs" dxfId="159" priority="12" operator="greaterThan">
      <formula>0.39</formula>
    </cfRule>
    <cfRule type="cellIs" dxfId="158" priority="13" operator="lessThan">
      <formula>0.281</formula>
    </cfRule>
  </conditionalFormatting>
  <conditionalFormatting sqref="B68">
    <cfRule type="cellIs" dxfId="157" priority="14" operator="greaterThan">
      <formula>0.39</formula>
    </cfRule>
    <cfRule type="cellIs" dxfId="156" priority="15" operator="lessThan">
      <formula>0.281</formula>
    </cfRule>
  </conditionalFormatting>
  <conditionalFormatting sqref="B74">
    <cfRule type="cellIs" dxfId="155" priority="16" operator="lessThan">
      <formula>0.1</formula>
    </cfRule>
    <cfRule type="cellIs" dxfId="154" priority="17" operator="greaterThan">
      <formula>0.19</formula>
    </cfRule>
  </conditionalFormatting>
  <conditionalFormatting sqref="B80">
    <cfRule type="cellIs" dxfId="153" priority="18" operator="lessThan">
      <formula>0.3</formula>
    </cfRule>
    <cfRule type="cellIs" dxfId="152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zoomScale="60" zoomScaleNormal="60" workbookViewId="0">
      <selection activeCell="D25" sqref="D25"/>
    </sheetView>
  </sheetViews>
  <sheetFormatPr defaultColWidth="12.625" defaultRowHeight="15" customHeight="1" x14ac:dyDescent="0.2"/>
  <cols>
    <col min="1" max="1" width="8.75" customWidth="1"/>
    <col min="2" max="2" width="37.75" customWidth="1"/>
    <col min="3" max="3" width="12.875" bestFit="1" customWidth="1"/>
    <col min="4" max="4" width="11.125" bestFit="1" customWidth="1"/>
    <col min="5" max="5" width="33.625" customWidth="1"/>
    <col min="6" max="6" width="11.125" customWidth="1"/>
    <col min="7" max="7" width="9.375" customWidth="1"/>
    <col min="8" max="8" width="41.25" customWidth="1"/>
    <col min="9" max="9" width="12.875" bestFit="1" customWidth="1"/>
    <col min="10" max="11" width="8.75" customWidth="1"/>
    <col min="12" max="12" width="13.25" customWidth="1"/>
    <col min="13" max="13" width="19.375" customWidth="1"/>
    <col min="14" max="15" width="8.75" customWidth="1"/>
    <col min="16" max="16" width="10.75" customWidth="1"/>
    <col min="17" max="19" width="8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v>300000</v>
      </c>
      <c r="E3" s="68" t="s">
        <v>10</v>
      </c>
      <c r="F3" s="6">
        <f>VLOOKUP(E3,CFP!$AA$32:$AK$37,2,FALSE)</f>
        <v>1440000</v>
      </c>
      <c r="H3" s="1" t="s">
        <v>11</v>
      </c>
      <c r="I3" s="7">
        <v>12000</v>
      </c>
      <c r="J3" s="6"/>
      <c r="L3" s="8">
        <f>L4-M21</f>
        <v>1284200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300000</v>
      </c>
      <c r="E4" s="68" t="s">
        <v>15</v>
      </c>
      <c r="F4" s="6">
        <f>VLOOKUP(E4,CFP!$AA$32:$AK$37,2,FALSE)</f>
        <v>480000</v>
      </c>
      <c r="H4" s="1" t="s">
        <v>16</v>
      </c>
      <c r="I4" s="7">
        <v>4100</v>
      </c>
      <c r="L4" s="16">
        <f>SUM(F3:F4)</f>
        <v>1920000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VLOOKUP(E5,CFP!$AA$32:$AK$37,2,FALSE)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300000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VLOOKUP(E6,CFP!$AA$32:$AK$37,2,FALSE)</f>
        <v>15750</v>
      </c>
      <c r="H6" s="1" t="s">
        <v>30</v>
      </c>
      <c r="I6" s="7">
        <v>348000</v>
      </c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25000</v>
      </c>
      <c r="X6" s="19" t="s">
        <v>33</v>
      </c>
      <c r="Y6" s="26">
        <f>C36</f>
        <v>6016385</v>
      </c>
    </row>
    <row r="7" spans="2:25" ht="14.25" customHeight="1" x14ac:dyDescent="0.2">
      <c r="B7" s="1" t="s">
        <v>34</v>
      </c>
      <c r="C7" s="6">
        <v>500000</v>
      </c>
      <c r="E7" s="1" t="s">
        <v>35</v>
      </c>
      <c r="F7" s="6">
        <f>VLOOKUP(E7,CFP!$AA$32:$AK$37,2,FALSE)</f>
        <v>3300</v>
      </c>
      <c r="H7" s="68" t="s">
        <v>36</v>
      </c>
      <c r="I7" s="7">
        <f>F3*0.05</f>
        <v>72000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>
        <f>U5/U6</f>
        <v>12</v>
      </c>
      <c r="V7" s="1" t="s">
        <v>38</v>
      </c>
      <c r="X7" s="19" t="s">
        <v>39</v>
      </c>
      <c r="Y7" s="26">
        <f>C19</f>
        <v>8825385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2155050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0.68171360229610378</v>
      </c>
    </row>
    <row r="9" spans="2:25" ht="14.25" customHeight="1" x14ac:dyDescent="0.2">
      <c r="B9" s="68" t="s">
        <v>50</v>
      </c>
      <c r="C9" s="6">
        <v>900000</v>
      </c>
      <c r="F9" s="6"/>
      <c r="H9" s="14" t="s">
        <v>51</v>
      </c>
      <c r="I9" s="15">
        <f>SUM(I3:I8)</f>
        <v>458600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v>1070000</v>
      </c>
      <c r="F10" s="6">
        <f>F8*0.15</f>
        <v>323257.5</v>
      </c>
      <c r="L10" s="34"/>
      <c r="M10" s="22" t="s">
        <v>56</v>
      </c>
      <c r="N10" s="23">
        <f>IF((L3-N6-N7-N8-N9)&gt;=250000,250000,(L3-N6-N7-N8-N9))</f>
        <v>250000</v>
      </c>
      <c r="O10" s="24">
        <v>0.2</v>
      </c>
      <c r="P10" s="25">
        <f t="shared" si="0"/>
        <v>50000</v>
      </c>
      <c r="S10" s="17"/>
      <c r="T10" s="2" t="s">
        <v>4</v>
      </c>
      <c r="U10" s="21">
        <f>C4</f>
        <v>300000</v>
      </c>
    </row>
    <row r="11" spans="2:25" ht="14.25" customHeight="1" x14ac:dyDescent="0.2">
      <c r="B11" s="68" t="s">
        <v>57</v>
      </c>
      <c r="C11" s="6">
        <f>CFP!AI12</f>
        <v>255385</v>
      </c>
      <c r="H11" s="1" t="s">
        <v>58</v>
      </c>
      <c r="M11" s="22" t="s">
        <v>59</v>
      </c>
      <c r="N11" s="23">
        <f>IF((L3-N6-N7-N8-N9-N10)&gt;=1000000,1000000,(L3-N6-N7-N8-N9-N10))</f>
        <v>284200</v>
      </c>
      <c r="O11" s="24">
        <v>0.25</v>
      </c>
      <c r="P11" s="25">
        <f t="shared" si="0"/>
        <v>71050</v>
      </c>
      <c r="S11" s="17"/>
      <c r="T11" s="2" t="s">
        <v>60</v>
      </c>
      <c r="U11" s="21">
        <f>I22/12</f>
        <v>156220.83333333334</v>
      </c>
    </row>
    <row r="12" spans="2:25" ht="14.25" customHeight="1" x14ac:dyDescent="0.2">
      <c r="B12" s="14" t="s">
        <v>61</v>
      </c>
      <c r="C12" s="15">
        <f>SUM(C7:C11)</f>
        <v>3325385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1.9203584669138238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186050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186050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1266050</v>
      </c>
      <c r="T15" s="2" t="s">
        <v>4</v>
      </c>
      <c r="U15" s="21">
        <f>C4</f>
        <v>300000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6016385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4.9863830190388411E-2</v>
      </c>
    </row>
    <row r="18" spans="2:22" ht="14.25" customHeight="1" x14ac:dyDescent="0.2">
      <c r="H18" s="1" t="s">
        <v>79</v>
      </c>
      <c r="I18" s="6">
        <v>150000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8825385</v>
      </c>
      <c r="H19" s="14" t="s">
        <v>82</v>
      </c>
      <c r="I19" s="15">
        <f>SUM(I18)</f>
        <v>150000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466800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635800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1874650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T23" s="49" t="s">
        <v>94</v>
      </c>
      <c r="U23" s="50">
        <f>C30</f>
        <v>2809000</v>
      </c>
    </row>
    <row r="24" spans="2:22" ht="14.25" customHeight="1" x14ac:dyDescent="0.2">
      <c r="B24" s="1" t="s">
        <v>95</v>
      </c>
      <c r="C24" s="6">
        <v>25000</v>
      </c>
      <c r="H24" s="51" t="s">
        <v>96</v>
      </c>
      <c r="I24" s="52">
        <f>F8-I22</f>
        <v>280400</v>
      </c>
      <c r="J24" s="53"/>
      <c r="T24" s="2" t="s">
        <v>39</v>
      </c>
      <c r="U24" s="21">
        <f>C19</f>
        <v>8825385</v>
      </c>
    </row>
    <row r="25" spans="2:22" ht="14.25" customHeight="1" x14ac:dyDescent="0.2">
      <c r="B25" s="14" t="s">
        <v>97</v>
      </c>
      <c r="C25" s="15">
        <v>25000</v>
      </c>
      <c r="H25" s="51" t="s">
        <v>98</v>
      </c>
      <c r="I25" s="52">
        <f>I24/12</f>
        <v>23366.666666666668</v>
      </c>
      <c r="T25" s="28"/>
      <c r="U25" s="38">
        <f>U23/U24</f>
        <v>0.31828639770389622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68" t="s">
        <v>102</v>
      </c>
      <c r="C27" s="6">
        <v>2784000</v>
      </c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2784000</v>
      </c>
      <c r="T28" s="2" t="s">
        <v>106</v>
      </c>
      <c r="U28" s="21">
        <f>I6+C25</f>
        <v>373000</v>
      </c>
    </row>
    <row r="29" spans="2:22" ht="14.25" customHeight="1" x14ac:dyDescent="0.2">
      <c r="T29" s="2" t="s">
        <v>107</v>
      </c>
      <c r="U29" s="21">
        <f>F8</f>
        <v>2155050</v>
      </c>
    </row>
    <row r="30" spans="2:22" ht="14.25" customHeight="1" x14ac:dyDescent="0.2">
      <c r="B30" s="41" t="s">
        <v>94</v>
      </c>
      <c r="C30" s="42">
        <f>C28+C25</f>
        <v>2809000</v>
      </c>
      <c r="T30" s="28"/>
      <c r="U30" s="38">
        <f>U28/U29</f>
        <v>0.17308183104800354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8825385</v>
      </c>
      <c r="T33" s="2" t="s">
        <v>115</v>
      </c>
      <c r="U33" s="21">
        <f>C24</f>
        <v>25000</v>
      </c>
    </row>
    <row r="34" spans="1:22" ht="14.25" customHeight="1" x14ac:dyDescent="0.2">
      <c r="B34" s="41" t="s">
        <v>116</v>
      </c>
      <c r="C34" s="42">
        <f>C30</f>
        <v>2809000</v>
      </c>
      <c r="T34" s="2" t="s">
        <v>107</v>
      </c>
      <c r="U34" s="21">
        <f>F8</f>
        <v>2155050</v>
      </c>
    </row>
    <row r="35" spans="1:22" ht="14.25" customHeight="1" x14ac:dyDescent="0.2">
      <c r="T35" s="28"/>
      <c r="U35" s="38">
        <f>U33/U34</f>
        <v>1.160065891742651E-2</v>
      </c>
    </row>
    <row r="36" spans="1:22" ht="14.25" customHeight="1" x14ac:dyDescent="0.2">
      <c r="B36" s="54" t="s">
        <v>119</v>
      </c>
      <c r="C36" s="55">
        <f>C33-C34</f>
        <v>6016385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 t="s">
        <v>155</v>
      </c>
      <c r="E38" s="1" t="s">
        <v>156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>E39+E46+E50</f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>+E40+E41+E42+E43+E44+E47+E48+E51</f>
        <v>139139</v>
      </c>
      <c r="H40" s="56"/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222000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2155050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0.10301385118674741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 t="s">
        <v>158</v>
      </c>
      <c r="E45" s="61">
        <f>SUM(E39:E44)</f>
        <v>86381</v>
      </c>
      <c r="G45" s="60"/>
      <c r="H45" s="56"/>
      <c r="O45" s="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3325385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6016385</v>
      </c>
    </row>
    <row r="48" spans="1:22" ht="14.25" customHeight="1" x14ac:dyDescent="0.2">
      <c r="B48" s="59" t="s">
        <v>139</v>
      </c>
      <c r="E48" s="7">
        <v>6764</v>
      </c>
      <c r="H48" s="56"/>
      <c r="T48" s="28"/>
      <c r="U48" s="38">
        <f>U46/U47</f>
        <v>0.55272144319221594</v>
      </c>
    </row>
    <row r="49" spans="1:21" ht="14.25" customHeight="1" x14ac:dyDescent="0.2">
      <c r="A49" s="1" t="s">
        <v>159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2155050</v>
      </c>
      <c r="G54" s="32">
        <f>E54/F54</f>
        <v>8.4265794297116073E-2</v>
      </c>
      <c r="T54" s="9" t="s">
        <v>149</v>
      </c>
      <c r="U54" s="30" t="s">
        <v>150</v>
      </c>
    </row>
    <row r="55" spans="1:21" ht="14.25" customHeight="1" x14ac:dyDescent="0.2">
      <c r="E55" s="25"/>
      <c r="F55" s="6"/>
      <c r="G55" s="32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502400</v>
      </c>
    </row>
    <row r="57" spans="1:21" ht="14.25" customHeight="1" x14ac:dyDescent="0.2">
      <c r="G57" s="56"/>
      <c r="H57" s="56"/>
      <c r="T57" s="2" t="s">
        <v>138</v>
      </c>
      <c r="U57" s="21">
        <f>F8</f>
        <v>2155050</v>
      </c>
    </row>
    <row r="58" spans="1:21" ht="14.25" customHeight="1" x14ac:dyDescent="0.2">
      <c r="G58" s="56"/>
      <c r="H58" s="56"/>
      <c r="T58" s="28"/>
      <c r="U58" s="38">
        <f>U56/U57</f>
        <v>0.23312684160460315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504" priority="1" operator="lessThan">
      <formula>1.01</formula>
    </cfRule>
    <cfRule type="cellIs" dxfId="503" priority="2" operator="greaterThan">
      <formula>1</formula>
    </cfRule>
  </conditionalFormatting>
  <conditionalFormatting sqref="U12">
    <cfRule type="cellIs" dxfId="502" priority="3" operator="greaterThan">
      <formula>12</formula>
    </cfRule>
    <cfRule type="cellIs" dxfId="501" priority="4" operator="lessThan">
      <formula>3</formula>
    </cfRule>
    <cfRule type="cellIs" dxfId="500" priority="5" operator="between">
      <formula>3</formula>
      <formula>12</formula>
    </cfRule>
  </conditionalFormatting>
  <conditionalFormatting sqref="U17">
    <cfRule type="cellIs" dxfId="499" priority="6" operator="equal">
      <formula>0.15</formula>
    </cfRule>
    <cfRule type="cellIs" dxfId="498" priority="7" operator="greaterThan">
      <formula>0.15</formula>
    </cfRule>
    <cfRule type="cellIs" dxfId="497" priority="8" operator="lessThan">
      <formula>0.15</formula>
    </cfRule>
  </conditionalFormatting>
  <conditionalFormatting sqref="U25">
    <cfRule type="cellIs" dxfId="496" priority="9" operator="greaterThan">
      <formula>0.499</formula>
    </cfRule>
    <cfRule type="cellIs" dxfId="495" priority="10" operator="lessThan">
      <formula>0.5</formula>
    </cfRule>
  </conditionalFormatting>
  <conditionalFormatting sqref="U30">
    <cfRule type="cellIs" dxfId="494" priority="11" operator="greaterThan">
      <formula>0.45</formula>
    </cfRule>
    <cfRule type="cellIs" dxfId="493" priority="12" operator="between">
      <formula>0.35</formula>
      <formula>0.45</formula>
    </cfRule>
    <cfRule type="cellIs" dxfId="492" priority="13" operator="lessThan">
      <formula>0.35</formula>
    </cfRule>
  </conditionalFormatting>
  <conditionalFormatting sqref="U35">
    <cfRule type="cellIs" dxfId="491" priority="14" operator="greaterThan">
      <formula>0.2</formula>
    </cfRule>
    <cfRule type="cellIs" dxfId="490" priority="15" operator="between">
      <formula>0.15</formula>
      <formula>0.2</formula>
    </cfRule>
    <cfRule type="cellIs" dxfId="489" priority="16" operator="lessThan">
      <formula>0.15</formula>
    </cfRule>
  </conditionalFormatting>
  <conditionalFormatting sqref="U43">
    <cfRule type="cellIs" dxfId="488" priority="17" operator="lessThan">
      <formula>0.101</formula>
    </cfRule>
    <cfRule type="cellIs" dxfId="487" priority="18" operator="greaterThan">
      <formula>0.1</formula>
    </cfRule>
  </conditionalFormatting>
  <conditionalFormatting sqref="U48">
    <cfRule type="cellIs" dxfId="486" priority="19" operator="lessThan">
      <formula>0.5</formula>
    </cfRule>
    <cfRule type="cellIs" dxfId="485" priority="20" operator="greaterThan">
      <formula>0.499</formula>
    </cfRule>
  </conditionalFormatting>
  <conditionalFormatting sqref="Y8">
    <cfRule type="cellIs" dxfId="484" priority="21" operator="lessThan">
      <formula>0.501</formula>
    </cfRule>
    <cfRule type="cellIs" dxfId="483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625" customWidth="1"/>
    <col min="3" max="3" width="13.75" customWidth="1"/>
    <col min="4" max="4" width="19.125" customWidth="1"/>
    <col min="5" max="5" width="17.3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23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DATA!B38</f>
        <v>8</v>
      </c>
      <c r="B2" s="11">
        <f>DATA!E38</f>
        <v>43620.113102343756</v>
      </c>
      <c r="C2" s="11">
        <f>DATA!F38</f>
        <v>523441.3572281251</v>
      </c>
      <c r="D2" s="11">
        <f>DATA!G38</f>
        <v>261178.61616000009</v>
      </c>
      <c r="E2" s="11">
        <f>DATA!H38</f>
        <v>784619.97338812519</v>
      </c>
      <c r="F2" s="11">
        <f>DATA!I38</f>
        <v>65384.997782343766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'7'!I21+F10</f>
        <v>780318.67350708519</v>
      </c>
      <c r="K4" s="19" t="s">
        <v>227</v>
      </c>
      <c r="L4" s="61">
        <f>DATA!G10</f>
        <v>25958.400000000001</v>
      </c>
    </row>
    <row r="5" spans="1:12" ht="14.25" customHeight="1" x14ac:dyDescent="0.2">
      <c r="H5" s="19" t="s">
        <v>228</v>
      </c>
      <c r="I5" s="19" t="s">
        <v>157</v>
      </c>
      <c r="K5" s="1" t="s">
        <v>194</v>
      </c>
      <c r="L5" s="61">
        <f>DATA!C96</f>
        <v>150444</v>
      </c>
    </row>
    <row r="6" spans="1:12" ht="14.25" customHeight="1" x14ac:dyDescent="0.2"/>
    <row r="7" spans="1:12" ht="14.25" customHeight="1" x14ac:dyDescent="0.2">
      <c r="H7" s="19"/>
      <c r="I7" s="19" t="s">
        <v>229</v>
      </c>
      <c r="K7" s="14" t="s">
        <v>230</v>
      </c>
      <c r="L7" s="25">
        <f>SUM(L4:L5)</f>
        <v>176402.4</v>
      </c>
    </row>
    <row r="8" spans="1:12" ht="14.25" customHeight="1" x14ac:dyDescent="0.2">
      <c r="C8" s="39">
        <v>10</v>
      </c>
      <c r="H8" s="19" t="s">
        <v>231</v>
      </c>
      <c r="I8" s="19"/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  <c r="K9" s="19"/>
      <c r="L9" s="19" t="s">
        <v>234</v>
      </c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188296.57737990643</v>
      </c>
      <c r="K10" s="19" t="s">
        <v>227</v>
      </c>
      <c r="L10" s="61">
        <f>DATA!G18-SUM(DATA!G3:G10)</f>
        <v>280627.20000000007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" t="s">
        <v>194</v>
      </c>
      <c r="L11" s="61">
        <f>'7'!L11-L5</f>
        <v>752220</v>
      </c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4" t="s">
        <v>242</v>
      </c>
      <c r="L13" s="25">
        <f>SUM(L10:L11)</f>
        <v>1032847.2000000001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DATA!C71</f>
        <v>1150</v>
      </c>
      <c r="C15" s="1">
        <f>B15*C9</f>
        <v>13800</v>
      </c>
      <c r="H15" s="19" t="s">
        <v>244</v>
      </c>
      <c r="I15" s="19"/>
    </row>
    <row r="16" spans="1:12" ht="14.25" customHeight="1" x14ac:dyDescent="0.2">
      <c r="A16" s="1" t="s">
        <v>227</v>
      </c>
      <c r="B16" s="1">
        <f>C16/C9</f>
        <v>2163.2000000000003</v>
      </c>
      <c r="C16" s="88">
        <f t="shared" ref="C16:C17" si="1">L4</f>
        <v>25958.400000000001</v>
      </c>
    </row>
    <row r="17" spans="1:12" ht="14.25" customHeight="1" x14ac:dyDescent="0.2">
      <c r="A17" s="1" t="s">
        <v>194</v>
      </c>
      <c r="B17" s="1">
        <f>C17/12</f>
        <v>12537</v>
      </c>
      <c r="C17" s="88">
        <f t="shared" si="1"/>
        <v>150444</v>
      </c>
      <c r="H17" s="19"/>
      <c r="I17" s="19" t="s">
        <v>245</v>
      </c>
    </row>
    <row r="18" spans="1:12" ht="14.25" customHeight="1" x14ac:dyDescent="0.2"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2">B19*$C$9</f>
        <v>24000</v>
      </c>
    </row>
    <row r="20" spans="1:12" ht="14.25" customHeight="1" x14ac:dyDescent="0.2">
      <c r="A20" s="1" t="s">
        <v>248</v>
      </c>
      <c r="B20" s="1">
        <v>2000</v>
      </c>
      <c r="C20" s="1">
        <f t="shared" si="2"/>
        <v>24000</v>
      </c>
      <c r="E20" s="80" t="s">
        <v>33</v>
      </c>
      <c r="F20" s="11">
        <f>I30-L21</f>
        <v>1187069.6617049417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3">B21*C8</f>
        <v>0</v>
      </c>
      <c r="H21" s="89" t="str">
        <f>A30</f>
        <v>สินทรัพย์สภาพคล่อง</v>
      </c>
      <c r="I21" s="90">
        <f>(SUM(I4:I5)+SUM(I8:I9)+SUM(I12:I15)+SUM(I18))-G35</f>
        <v>697844.77261468617</v>
      </c>
      <c r="K21" s="41" t="s">
        <v>94</v>
      </c>
      <c r="L21" s="90">
        <f>L7+L13</f>
        <v>1209249.6000000001</v>
      </c>
    </row>
    <row r="22" spans="1:12" ht="14.25" customHeight="1" x14ac:dyDescent="0.2">
      <c r="A22" s="1" t="s">
        <v>250</v>
      </c>
      <c r="B22" s="1">
        <v>350</v>
      </c>
      <c r="C22" s="1">
        <f t="shared" si="3"/>
        <v>4200</v>
      </c>
    </row>
    <row r="23" spans="1:12" ht="14.25" customHeight="1" x14ac:dyDescent="0.2">
      <c r="A23" s="1" t="s">
        <v>259</v>
      </c>
      <c r="B23" s="1">
        <v>7000</v>
      </c>
      <c r="C23" s="1">
        <f>B23*C9</f>
        <v>84000</v>
      </c>
      <c r="I23" s="11"/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44842.996008218775</v>
      </c>
      <c r="F25" s="80"/>
    </row>
    <row r="26" spans="1:12" ht="14.25" customHeight="1" x14ac:dyDescent="0.2">
      <c r="B26" s="19" t="s">
        <v>252</v>
      </c>
      <c r="C26" s="37">
        <f>SUM(C10:C25)</f>
        <v>596323.39600821876</v>
      </c>
    </row>
    <row r="27" spans="1:12" ht="14.25" customHeight="1" x14ac:dyDescent="0.2">
      <c r="B27" s="19" t="s">
        <v>64</v>
      </c>
      <c r="C27" s="37">
        <f>C26/C9</f>
        <v>49693.616334018232</v>
      </c>
      <c r="G27" s="98">
        <v>0.4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697844.77261468617</v>
      </c>
      <c r="E29" s="1">
        <v>2</v>
      </c>
      <c r="F29" s="1" t="s">
        <v>214</v>
      </c>
      <c r="G29" s="1">
        <f>DATA!B157</f>
        <v>60665.226936599822</v>
      </c>
      <c r="I29" s="88">
        <f>DATA!C90</f>
        <v>1094000</v>
      </c>
    </row>
    <row r="30" spans="1:12" ht="14.25" customHeight="1" x14ac:dyDescent="0.2">
      <c r="A30" s="80" t="s">
        <v>4</v>
      </c>
      <c r="B30" s="80">
        <f>I21</f>
        <v>697844.77261468617</v>
      </c>
      <c r="C30" s="80"/>
      <c r="E30" s="1">
        <v>3</v>
      </c>
      <c r="F30" s="1" t="s">
        <v>214</v>
      </c>
      <c r="G30" s="1">
        <f>DATA!C157</f>
        <v>56008.486678915557</v>
      </c>
      <c r="I30" s="11">
        <f>I21+G38+I29</f>
        <v>2396319.2617049417</v>
      </c>
    </row>
    <row r="31" spans="1:12" ht="14.25" customHeight="1" x14ac:dyDescent="0.2">
      <c r="A31" s="80" t="s">
        <v>32</v>
      </c>
      <c r="B31" s="80">
        <f>L7</f>
        <v>176402.4</v>
      </c>
      <c r="C31" s="80"/>
      <c r="E31" s="1">
        <v>4</v>
      </c>
      <c r="F31" s="1" t="s">
        <v>214</v>
      </c>
      <c r="G31" s="1">
        <f>DATA!D157</f>
        <v>104547.60966840998</v>
      </c>
    </row>
    <row r="32" spans="1:12" ht="14.25" customHeight="1" x14ac:dyDescent="0.2">
      <c r="A32" s="80"/>
      <c r="B32" s="94">
        <f>B30/B31</f>
        <v>3.9559823030451184</v>
      </c>
      <c r="C32" s="80" t="s">
        <v>38</v>
      </c>
      <c r="E32" s="1">
        <v>5</v>
      </c>
      <c r="F32" s="1" t="s">
        <v>214</v>
      </c>
      <c r="G32" s="1">
        <f>DATA!E157</f>
        <v>105240.17790278837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DATA!F157</f>
        <v>130524.4209361674</v>
      </c>
    </row>
    <row r="34" spans="1:7" ht="14.25" customHeight="1" x14ac:dyDescent="0.2">
      <c r="A34" s="80"/>
      <c r="B34" s="80" t="s">
        <v>48</v>
      </c>
      <c r="C34" s="80"/>
      <c r="E34" s="1">
        <v>7</v>
      </c>
      <c r="F34" s="1" t="s">
        <v>213</v>
      </c>
      <c r="G34" s="1">
        <f>DATA!G157</f>
        <v>65014.666074975219</v>
      </c>
    </row>
    <row r="35" spans="1:7" ht="14.25" customHeight="1" x14ac:dyDescent="0.2">
      <c r="A35" s="80"/>
      <c r="B35" s="80" t="s">
        <v>54</v>
      </c>
      <c r="C35" s="80"/>
      <c r="E35" s="1">
        <v>8</v>
      </c>
      <c r="F35" s="1" t="s">
        <v>213</v>
      </c>
      <c r="G35" s="1">
        <f>DATA!H157</f>
        <v>82473.900892399019</v>
      </c>
    </row>
    <row r="36" spans="1:7" ht="14.25" customHeight="1" x14ac:dyDescent="0.2">
      <c r="A36" s="80" t="s">
        <v>4</v>
      </c>
      <c r="B36" s="80">
        <f>B30</f>
        <v>697844.77261468617</v>
      </c>
      <c r="C36" s="80"/>
    </row>
    <row r="37" spans="1:7" ht="14.25" customHeight="1" x14ac:dyDescent="0.2">
      <c r="A37" s="80" t="s">
        <v>60</v>
      </c>
      <c r="B37" s="80">
        <f>C27</f>
        <v>49693.616334018232</v>
      </c>
      <c r="C37" s="80"/>
    </row>
    <row r="38" spans="1:7" ht="14.25" customHeight="1" x14ac:dyDescent="0.2">
      <c r="A38" s="80"/>
      <c r="B38" s="94">
        <f>B36/B37</f>
        <v>14.042946038060224</v>
      </c>
      <c r="C38" s="80" t="s">
        <v>38</v>
      </c>
      <c r="G38" s="1">
        <f>SUM(G29:G37)</f>
        <v>604474.48909025546</v>
      </c>
    </row>
    <row r="39" spans="1:7" ht="14.25" customHeight="1" x14ac:dyDescent="0.2"/>
    <row r="40" spans="1:7" ht="14.25" customHeight="1" x14ac:dyDescent="0.2">
      <c r="A40" s="80"/>
      <c r="B40" s="80" t="s">
        <v>68</v>
      </c>
    </row>
    <row r="41" spans="1:7" ht="14.25" customHeight="1" x14ac:dyDescent="0.2">
      <c r="A41" s="80"/>
      <c r="B41" s="80" t="s">
        <v>71</v>
      </c>
    </row>
    <row r="42" spans="1:7" ht="14.25" customHeight="1" x14ac:dyDescent="0.2">
      <c r="A42" s="80" t="s">
        <v>4</v>
      </c>
      <c r="B42" s="80">
        <f>B30</f>
        <v>697844.77261468617</v>
      </c>
    </row>
    <row r="43" spans="1:7" ht="14.25" customHeight="1" x14ac:dyDescent="0.2">
      <c r="A43" s="80" t="s">
        <v>33</v>
      </c>
      <c r="B43" s="80">
        <f>F20</f>
        <v>1187069.6617049417</v>
      </c>
    </row>
    <row r="44" spans="1:7" ht="14.25" customHeight="1" x14ac:dyDescent="0.2">
      <c r="A44" s="80"/>
      <c r="B44" s="77">
        <f>B42/B43</f>
        <v>0.58787179482996732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1209249.6000000001</v>
      </c>
      <c r="C48" s="80"/>
    </row>
    <row r="49" spans="1:6" ht="14.25" customHeight="1" x14ac:dyDescent="0.2">
      <c r="A49" s="80" t="s">
        <v>39</v>
      </c>
      <c r="B49" s="80">
        <f>I30</f>
        <v>2396319.2617049417</v>
      </c>
      <c r="C49" s="80"/>
    </row>
    <row r="50" spans="1:6" ht="14.25" customHeight="1" x14ac:dyDescent="0.2">
      <c r="A50" s="80"/>
      <c r="B50" s="77">
        <f>B48/B49</f>
        <v>0.50462791804278984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1187069.6617049417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2396319.2617049417</v>
      </c>
      <c r="C55" s="80"/>
    </row>
    <row r="56" spans="1:6" ht="14.25" customHeight="1" x14ac:dyDescent="0.2">
      <c r="A56" s="80"/>
      <c r="B56" s="77">
        <f>B54/B55</f>
        <v>0.49537208195721011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L7</f>
        <v>176402.4</v>
      </c>
    </row>
    <row r="61" spans="1:6" ht="14.25" customHeight="1" x14ac:dyDescent="0.2">
      <c r="A61" s="80" t="s">
        <v>107</v>
      </c>
      <c r="B61" s="80">
        <f>E2</f>
        <v>784619.97338812519</v>
      </c>
      <c r="F61" s="80"/>
    </row>
    <row r="62" spans="1:6" ht="14.25" customHeight="1" x14ac:dyDescent="0.2">
      <c r="A62" s="80"/>
      <c r="B62" s="32">
        <f>B60/B61</f>
        <v>0.22482527335910635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4">B60/12</f>
        <v>14700.199999999999</v>
      </c>
    </row>
    <row r="67" spans="1:6" ht="14.25" customHeight="1" x14ac:dyDescent="0.2">
      <c r="A67" s="80" t="s">
        <v>258</v>
      </c>
      <c r="B67" s="80">
        <f t="shared" si="4"/>
        <v>65384.997782343766</v>
      </c>
    </row>
    <row r="68" spans="1:6" ht="14.25" customHeight="1" x14ac:dyDescent="0.2">
      <c r="A68" s="80"/>
      <c r="B68" s="32">
        <f>B66/B67</f>
        <v>0.22482527335910635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697844.77261468617</v>
      </c>
    </row>
    <row r="73" spans="1:6" ht="14.25" customHeight="1" x14ac:dyDescent="0.2">
      <c r="A73" s="80" t="s">
        <v>138</v>
      </c>
      <c r="B73" s="80">
        <f>E2</f>
        <v>784619.97338812519</v>
      </c>
    </row>
    <row r="74" spans="1:6" ht="14.25" customHeight="1" x14ac:dyDescent="0.2">
      <c r="A74" s="80"/>
      <c r="B74" s="77">
        <f>B72/B73</f>
        <v>0.88940480268590583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G38</f>
        <v>604474.48909025546</v>
      </c>
      <c r="C78" s="80"/>
    </row>
    <row r="79" spans="1:6" ht="14.25" customHeight="1" x14ac:dyDescent="0.2">
      <c r="A79" s="80" t="s">
        <v>33</v>
      </c>
      <c r="B79" s="80">
        <f>B43</f>
        <v>1187069.6617049417</v>
      </c>
      <c r="C79" s="80"/>
    </row>
    <row r="80" spans="1:6" ht="14.25" customHeight="1" x14ac:dyDescent="0.2">
      <c r="A80" s="80"/>
      <c r="B80" s="77">
        <f>B78/B79</f>
        <v>0.50921568345203294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A91-B107</f>
        <v>615619.97338812519</v>
      </c>
    </row>
    <row r="91" spans="1:5" ht="14.25" customHeight="1" x14ac:dyDescent="0.2">
      <c r="A91" s="96">
        <f>E2</f>
        <v>784619.97338812519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5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5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200000</v>
      </c>
      <c r="D95" s="24">
        <v>0.1</v>
      </c>
      <c r="E95" s="25">
        <f t="shared" si="5"/>
        <v>20000</v>
      </c>
    </row>
    <row r="96" spans="1:5" ht="14.25" customHeight="1" x14ac:dyDescent="0.2">
      <c r="B96" s="22" t="s">
        <v>52</v>
      </c>
      <c r="C96" s="23">
        <f>IF((A90-C93-C94-C95)&gt;=250000,250000,(A90-C93-C94-C95))</f>
        <v>115619.97338812519</v>
      </c>
      <c r="D96" s="24">
        <v>0.15</v>
      </c>
      <c r="E96" s="25">
        <f t="shared" si="5"/>
        <v>17342.996008218779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5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5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5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5"/>
        <v>0</v>
      </c>
    </row>
    <row r="101" spans="1:5" ht="14.25" customHeight="1" x14ac:dyDescent="0.35">
      <c r="E101" s="97">
        <f>SUM(E93:E100)</f>
        <v>44842.996008218775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B107" s="45">
        <f>SUM(B104:B106)</f>
        <v>169000</v>
      </c>
    </row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151" priority="1" operator="greaterThan">
      <formula>0.9999999999</formula>
    </cfRule>
    <cfRule type="cellIs" dxfId="150" priority="2" operator="lessThan">
      <formula>1</formula>
    </cfRule>
  </conditionalFormatting>
  <conditionalFormatting sqref="B38">
    <cfRule type="cellIs" dxfId="149" priority="3" operator="greaterThan">
      <formula>5.9999</formula>
    </cfRule>
    <cfRule type="cellIs" dxfId="148" priority="4" operator="lessThan">
      <formula>3</formula>
    </cfRule>
  </conditionalFormatting>
  <conditionalFormatting sqref="B44">
    <cfRule type="cellIs" dxfId="147" priority="5" operator="greaterThan">
      <formula>0.29</formula>
    </cfRule>
    <cfRule type="cellIs" dxfId="146" priority="6" operator="lessThan">
      <formula>0.05</formula>
    </cfRule>
    <cfRule type="cellIs" dxfId="145" priority="7" operator="greaterThan">
      <formula>0.049</formula>
    </cfRule>
  </conditionalFormatting>
  <conditionalFormatting sqref="B50">
    <cfRule type="cellIs" dxfId="144" priority="8" operator="greaterThan">
      <formula>0.49</formula>
    </cfRule>
    <cfRule type="cellIs" dxfId="143" priority="9" operator="lessThan">
      <formula>0.41</formula>
    </cfRule>
  </conditionalFormatting>
  <conditionalFormatting sqref="B56">
    <cfRule type="cellIs" dxfId="142" priority="10" operator="lessThan">
      <formula>0.41</formula>
    </cfRule>
    <cfRule type="cellIs" dxfId="141" priority="11" operator="greaterThan">
      <formula>0.59</formula>
    </cfRule>
  </conditionalFormatting>
  <conditionalFormatting sqref="B62">
    <cfRule type="cellIs" dxfId="140" priority="12" operator="greaterThan">
      <formula>0.39</formula>
    </cfRule>
    <cfRule type="cellIs" dxfId="139" priority="13" operator="lessThan">
      <formula>0.281</formula>
    </cfRule>
  </conditionalFormatting>
  <conditionalFormatting sqref="B68">
    <cfRule type="cellIs" dxfId="138" priority="14" operator="greaterThan">
      <formula>0.39</formula>
    </cfRule>
    <cfRule type="cellIs" dxfId="137" priority="15" operator="lessThan">
      <formula>0.281</formula>
    </cfRule>
  </conditionalFormatting>
  <conditionalFormatting sqref="B74">
    <cfRule type="cellIs" dxfId="136" priority="16" operator="lessThan">
      <formula>0.1</formula>
    </cfRule>
    <cfRule type="cellIs" dxfId="135" priority="17" operator="greaterThan">
      <formula>0.19</formula>
    </cfRule>
  </conditionalFormatting>
  <conditionalFormatting sqref="B80">
    <cfRule type="cellIs" dxfId="134" priority="18" operator="lessThan">
      <formula>0.3</formula>
    </cfRule>
    <cfRule type="cellIs" dxfId="133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625" customWidth="1"/>
    <col min="3" max="3" width="13.75" customWidth="1"/>
    <col min="4" max="4" width="19.125" customWidth="1"/>
    <col min="5" max="5" width="17.3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23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DATA!B39</f>
        <v>9</v>
      </c>
      <c r="B2" s="11">
        <f>DATA!E39</f>
        <v>45801.118757460943</v>
      </c>
      <c r="C2" s="11">
        <f>DATA!F39</f>
        <v>549613.42508953135</v>
      </c>
      <c r="D2" s="11">
        <f>DATA!G39</f>
        <v>313414.33939200011</v>
      </c>
      <c r="E2" s="11">
        <f>DATA!H39</f>
        <v>863027.76448153146</v>
      </c>
      <c r="F2" s="11">
        <f>DATA!I39</f>
        <v>71918.98037346096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'8'!I21+F10</f>
        <v>913178.37242398795</v>
      </c>
      <c r="K4" s="19" t="s">
        <v>227</v>
      </c>
      <c r="L4" s="61">
        <f>DATA!G11</f>
        <v>29568.000000000004</v>
      </c>
    </row>
    <row r="5" spans="1:12" ht="14.25" customHeight="1" x14ac:dyDescent="0.2">
      <c r="H5" s="19" t="s">
        <v>228</v>
      </c>
      <c r="I5" s="19" t="s">
        <v>157</v>
      </c>
      <c r="K5" s="1" t="s">
        <v>194</v>
      </c>
      <c r="L5" s="61">
        <f>DATA!C96</f>
        <v>150444</v>
      </c>
    </row>
    <row r="6" spans="1:12" ht="14.25" customHeight="1" x14ac:dyDescent="0.2"/>
    <row r="7" spans="1:12" ht="14.25" customHeight="1" x14ac:dyDescent="0.2">
      <c r="H7" s="19"/>
      <c r="I7" s="19" t="s">
        <v>229</v>
      </c>
      <c r="K7" s="14" t="s">
        <v>230</v>
      </c>
      <c r="L7" s="25">
        <f>SUM(L4:L5)</f>
        <v>180012</v>
      </c>
    </row>
    <row r="8" spans="1:12" ht="14.25" customHeight="1" x14ac:dyDescent="0.2">
      <c r="C8" s="39">
        <v>10</v>
      </c>
      <c r="H8" s="19" t="s">
        <v>231</v>
      </c>
      <c r="I8" s="19"/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  <c r="K9" s="19"/>
      <c r="L9" s="19" t="s">
        <v>234</v>
      </c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215333.59980930178</v>
      </c>
      <c r="K10" s="19" t="s">
        <v>227</v>
      </c>
      <c r="L10" s="61">
        <f>DATA!G18-SUM(DATA!G3:G11)</f>
        <v>251059.20000000007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" t="s">
        <v>194</v>
      </c>
      <c r="L11" s="61">
        <f>'8'!L11-L5</f>
        <v>601776</v>
      </c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4" t="s">
        <v>242</v>
      </c>
      <c r="L13" s="25">
        <f>SUM(L10:L11)</f>
        <v>852835.20000000007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DATA!C71</f>
        <v>1150</v>
      </c>
      <c r="C15" s="1">
        <f>B15*C9</f>
        <v>13800</v>
      </c>
      <c r="H15" s="19" t="s">
        <v>244</v>
      </c>
      <c r="I15" s="19"/>
    </row>
    <row r="16" spans="1:12" ht="14.25" customHeight="1" x14ac:dyDescent="0.2">
      <c r="A16" s="1" t="s">
        <v>227</v>
      </c>
      <c r="B16" s="1">
        <f>C16/C9</f>
        <v>2464.0000000000005</v>
      </c>
      <c r="C16" s="88">
        <f t="shared" ref="C16:C17" si="1">L4</f>
        <v>29568.000000000004</v>
      </c>
    </row>
    <row r="17" spans="1:12" ht="14.25" customHeight="1" x14ac:dyDescent="0.2">
      <c r="A17" s="1" t="s">
        <v>194</v>
      </c>
      <c r="B17" s="1">
        <f>C17/12</f>
        <v>12537</v>
      </c>
      <c r="C17" s="88">
        <f t="shared" si="1"/>
        <v>150444</v>
      </c>
      <c r="H17" s="19"/>
      <c r="I17" s="19" t="s">
        <v>245</v>
      </c>
    </row>
    <row r="18" spans="1:12" ht="14.25" customHeight="1" x14ac:dyDescent="0.2"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2">B19*$C$9</f>
        <v>24000</v>
      </c>
    </row>
    <row r="20" spans="1:12" ht="14.25" customHeight="1" x14ac:dyDescent="0.2">
      <c r="A20" s="1" t="s">
        <v>248</v>
      </c>
      <c r="B20" s="1">
        <v>2000</v>
      </c>
      <c r="C20" s="1">
        <f t="shared" si="2"/>
        <v>24000</v>
      </c>
      <c r="E20" s="80" t="s">
        <v>33</v>
      </c>
      <c r="F20" s="11">
        <f>I30-L21</f>
        <v>1604243.2279176787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3">B21*C8</f>
        <v>0</v>
      </c>
      <c r="H21" s="89" t="str">
        <f>A30</f>
        <v>สินทรัพย์สภาพคล่อง</v>
      </c>
      <c r="I21" s="90">
        <f>(SUM(I4:I5)+SUM(I8:I9)+SUM(I12:I15)+SUM(I18))-G36</f>
        <v>818862.25570751377</v>
      </c>
      <c r="K21" s="41" t="s">
        <v>94</v>
      </c>
      <c r="L21" s="90">
        <f>L7+L13</f>
        <v>1032847.2000000001</v>
      </c>
    </row>
    <row r="22" spans="1:12" ht="14.25" customHeight="1" x14ac:dyDescent="0.2">
      <c r="A22" s="1" t="s">
        <v>250</v>
      </c>
      <c r="B22" s="1">
        <v>350</v>
      </c>
      <c r="C22" s="1">
        <f t="shared" si="3"/>
        <v>4200</v>
      </c>
    </row>
    <row r="23" spans="1:12" ht="14.25" customHeight="1" x14ac:dyDescent="0.2">
      <c r="A23" s="1" t="s">
        <v>259</v>
      </c>
      <c r="B23" s="1">
        <v>10000</v>
      </c>
      <c r="C23" s="1">
        <f>B23*C9</f>
        <v>120000</v>
      </c>
      <c r="I23" s="11"/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56604.164672229716</v>
      </c>
      <c r="F25" s="80"/>
    </row>
    <row r="26" spans="1:12" ht="14.25" customHeight="1" x14ac:dyDescent="0.2">
      <c r="B26" s="19" t="s">
        <v>252</v>
      </c>
      <c r="C26" s="37">
        <f>SUM(C10:C25)</f>
        <v>647694.16467222967</v>
      </c>
    </row>
    <row r="27" spans="1:12" ht="14.25" customHeight="1" x14ac:dyDescent="0.2">
      <c r="B27" s="19" t="s">
        <v>64</v>
      </c>
      <c r="C27" s="37">
        <f>C26/C9</f>
        <v>53974.513722685806</v>
      </c>
      <c r="G27" s="98">
        <v>0.4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818862.25570751377</v>
      </c>
      <c r="E29" s="1">
        <v>2</v>
      </c>
      <c r="F29" s="1" t="s">
        <v>214</v>
      </c>
      <c r="G29" s="1">
        <f>DATA!B158</f>
        <v>62788.509879380807</v>
      </c>
      <c r="I29" s="88">
        <f>DATA!C90</f>
        <v>1094000</v>
      </c>
    </row>
    <row r="30" spans="1:12" ht="14.25" customHeight="1" x14ac:dyDescent="0.2">
      <c r="A30" s="80" t="s">
        <v>4</v>
      </c>
      <c r="B30" s="80">
        <f>I21</f>
        <v>818862.25570751377</v>
      </c>
      <c r="C30" s="80"/>
      <c r="E30" s="1">
        <v>3</v>
      </c>
      <c r="F30" s="1" t="s">
        <v>214</v>
      </c>
      <c r="G30" s="1">
        <f>DATA!C158</f>
        <v>57968.783712677599</v>
      </c>
      <c r="I30" s="11">
        <f>I21+G38+I29</f>
        <v>2637090.4279176788</v>
      </c>
    </row>
    <row r="31" spans="1:12" ht="14.25" customHeight="1" x14ac:dyDescent="0.2">
      <c r="A31" s="80" t="s">
        <v>32</v>
      </c>
      <c r="B31" s="80">
        <f>L7</f>
        <v>180012</v>
      </c>
      <c r="C31" s="80"/>
      <c r="E31" s="1">
        <v>4</v>
      </c>
      <c r="F31" s="1" t="s">
        <v>214</v>
      </c>
      <c r="G31" s="1">
        <f>DATA!D158</f>
        <v>108206.77600680433</v>
      </c>
    </row>
    <row r="32" spans="1:12" ht="14.25" customHeight="1" x14ac:dyDescent="0.2">
      <c r="A32" s="80"/>
      <c r="B32" s="94">
        <f>B30/B31</f>
        <v>4.5489314918311763</v>
      </c>
      <c r="C32" s="80" t="s">
        <v>38</v>
      </c>
      <c r="E32" s="1">
        <v>5</v>
      </c>
      <c r="F32" s="1" t="s">
        <v>214</v>
      </c>
      <c r="G32" s="1">
        <f>DATA!E158</f>
        <v>108923.58412938596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DATA!F157</f>
        <v>130524.4209361674</v>
      </c>
    </row>
    <row r="34" spans="1:7" ht="14.25" customHeight="1" x14ac:dyDescent="0.2">
      <c r="A34" s="80"/>
      <c r="B34" s="80" t="s">
        <v>48</v>
      </c>
      <c r="C34" s="80"/>
      <c r="E34" s="1">
        <v>7</v>
      </c>
      <c r="F34" s="1" t="s">
        <v>213</v>
      </c>
      <c r="G34" s="1">
        <f>DATA!G158</f>
        <v>71191.059352097858</v>
      </c>
    </row>
    <row r="35" spans="1:7" ht="14.25" customHeight="1" x14ac:dyDescent="0.2">
      <c r="A35" s="80"/>
      <c r="B35" s="80" t="s">
        <v>54</v>
      </c>
      <c r="C35" s="80"/>
      <c r="E35" s="1">
        <v>8</v>
      </c>
      <c r="F35" s="1" t="s">
        <v>213</v>
      </c>
      <c r="G35" s="1">
        <f>DATA!H158</f>
        <v>90308.921477176933</v>
      </c>
    </row>
    <row r="36" spans="1:7" ht="14.25" customHeight="1" x14ac:dyDescent="0.2">
      <c r="A36" s="80" t="s">
        <v>4</v>
      </c>
      <c r="B36" s="80">
        <f>B30</f>
        <v>818862.25570751377</v>
      </c>
      <c r="C36" s="80"/>
      <c r="E36" s="1">
        <v>9</v>
      </c>
      <c r="F36" s="1" t="s">
        <v>213</v>
      </c>
      <c r="G36" s="1">
        <f>DATA!I158</f>
        <v>94316.116716474193</v>
      </c>
    </row>
    <row r="37" spans="1:7" ht="14.25" customHeight="1" x14ac:dyDescent="0.2">
      <c r="A37" s="80" t="s">
        <v>60</v>
      </c>
      <c r="B37" s="80">
        <f>C27</f>
        <v>53974.513722685806</v>
      </c>
      <c r="C37" s="80"/>
    </row>
    <row r="38" spans="1:7" ht="14.25" customHeight="1" x14ac:dyDescent="0.2">
      <c r="A38" s="80"/>
      <c r="B38" s="94">
        <f>B36/B37</f>
        <v>15.171276204816296</v>
      </c>
      <c r="C38" s="80" t="s">
        <v>38</v>
      </c>
      <c r="G38" s="1">
        <f>SUM(G29:G37)</f>
        <v>724228.17221016507</v>
      </c>
    </row>
    <row r="39" spans="1:7" ht="14.25" customHeight="1" x14ac:dyDescent="0.2"/>
    <row r="40" spans="1:7" ht="14.25" customHeight="1" x14ac:dyDescent="0.2">
      <c r="A40" s="80"/>
      <c r="B40" s="80" t="s">
        <v>68</v>
      </c>
    </row>
    <row r="41" spans="1:7" ht="14.25" customHeight="1" x14ac:dyDescent="0.2">
      <c r="A41" s="80"/>
      <c r="B41" s="80" t="s">
        <v>71</v>
      </c>
    </row>
    <row r="42" spans="1:7" ht="14.25" customHeight="1" x14ac:dyDescent="0.2">
      <c r="A42" s="80" t="s">
        <v>4</v>
      </c>
      <c r="B42" s="80">
        <f>B30</f>
        <v>818862.25570751377</v>
      </c>
    </row>
    <row r="43" spans="1:7" ht="14.25" customHeight="1" x14ac:dyDescent="0.2">
      <c r="A43" s="80" t="s">
        <v>33</v>
      </c>
      <c r="B43" s="80">
        <f>F20</f>
        <v>1604243.2279176787</v>
      </c>
    </row>
    <row r="44" spans="1:7" ht="14.25" customHeight="1" x14ac:dyDescent="0.2">
      <c r="A44" s="80"/>
      <c r="B44" s="77">
        <f>B42/B43</f>
        <v>0.51043522668966101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1032847.2000000001</v>
      </c>
      <c r="C48" s="80"/>
    </row>
    <row r="49" spans="1:6" ht="14.25" customHeight="1" x14ac:dyDescent="0.2">
      <c r="A49" s="80" t="s">
        <v>39</v>
      </c>
      <c r="B49" s="80">
        <f>I30</f>
        <v>2637090.4279176788</v>
      </c>
      <c r="C49" s="80"/>
    </row>
    <row r="50" spans="1:6" ht="14.25" customHeight="1" x14ac:dyDescent="0.2">
      <c r="A50" s="80"/>
      <c r="B50" s="77">
        <f>B48/B49</f>
        <v>0.3916616544755977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1604243.2279176787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2637090.4279176788</v>
      </c>
      <c r="C55" s="80"/>
    </row>
    <row r="56" spans="1:6" ht="14.25" customHeight="1" x14ac:dyDescent="0.2">
      <c r="A56" s="80"/>
      <c r="B56" s="77">
        <f>B54/B55</f>
        <v>0.60833834552440225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L7</f>
        <v>180012</v>
      </c>
    </row>
    <row r="61" spans="1:6" ht="14.25" customHeight="1" x14ac:dyDescent="0.2">
      <c r="A61" s="80" t="s">
        <v>107</v>
      </c>
      <c r="B61" s="80">
        <f>E2</f>
        <v>863027.76448153146</v>
      </c>
      <c r="F61" s="80"/>
    </row>
    <row r="62" spans="1:6" ht="14.25" customHeight="1" x14ac:dyDescent="0.2">
      <c r="A62" s="80"/>
      <c r="B62" s="32">
        <f>B60/B61</f>
        <v>0.20858193375521722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4">B60/12</f>
        <v>15001</v>
      </c>
    </row>
    <row r="67" spans="1:6" ht="14.25" customHeight="1" x14ac:dyDescent="0.2">
      <c r="A67" s="80" t="s">
        <v>258</v>
      </c>
      <c r="B67" s="80">
        <f t="shared" si="4"/>
        <v>71918.98037346096</v>
      </c>
    </row>
    <row r="68" spans="1:6" ht="14.25" customHeight="1" x14ac:dyDescent="0.2">
      <c r="A68" s="80"/>
      <c r="B68" s="32">
        <f>B66/B67</f>
        <v>0.20858193375521719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818862.25570751377</v>
      </c>
    </row>
    <row r="73" spans="1:6" ht="14.25" customHeight="1" x14ac:dyDescent="0.2">
      <c r="A73" s="80" t="s">
        <v>138</v>
      </c>
      <c r="B73" s="80">
        <f>E2</f>
        <v>863027.76448153146</v>
      </c>
    </row>
    <row r="74" spans="1:6" ht="14.25" customHeight="1" x14ac:dyDescent="0.2">
      <c r="A74" s="80"/>
      <c r="B74" s="77">
        <f>B72/B73</f>
        <v>0.94882492708615196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G38</f>
        <v>724228.17221016507</v>
      </c>
      <c r="C78" s="80"/>
    </row>
    <row r="79" spans="1:6" ht="14.25" customHeight="1" x14ac:dyDescent="0.2">
      <c r="A79" s="80" t="s">
        <v>33</v>
      </c>
      <c r="B79" s="80">
        <f>B43</f>
        <v>1604243.2279176787</v>
      </c>
      <c r="C79" s="80"/>
    </row>
    <row r="80" spans="1:6" ht="14.25" customHeight="1" x14ac:dyDescent="0.2">
      <c r="A80" s="80"/>
      <c r="B80" s="77">
        <f>B78/B79</f>
        <v>0.45144536664195206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A91-B107</f>
        <v>694027.76448153146</v>
      </c>
    </row>
    <row r="91" spans="1:5" ht="14.25" customHeight="1" x14ac:dyDescent="0.2">
      <c r="A91" s="96">
        <f>E2</f>
        <v>863027.76448153146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5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5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200000</v>
      </c>
      <c r="D95" s="24">
        <v>0.1</v>
      </c>
      <c r="E95" s="25">
        <f t="shared" si="5"/>
        <v>20000</v>
      </c>
    </row>
    <row r="96" spans="1:5" ht="14.25" customHeight="1" x14ac:dyDescent="0.2">
      <c r="B96" s="22" t="s">
        <v>52</v>
      </c>
      <c r="C96" s="23">
        <f>IF((A90-C93-C94-C95)&gt;=250000,250000,(A90-C93-C94-C95))</f>
        <v>194027.76448153146</v>
      </c>
      <c r="D96" s="24">
        <v>0.15</v>
      </c>
      <c r="E96" s="25">
        <f t="shared" si="5"/>
        <v>29104.164672229719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5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5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5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5"/>
        <v>0</v>
      </c>
    </row>
    <row r="101" spans="1:5" ht="14.25" customHeight="1" x14ac:dyDescent="0.35">
      <c r="E101" s="97">
        <f>SUM(E93:E100)</f>
        <v>56604.164672229716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B107" s="45">
        <f>SUM(B104:B106)</f>
        <v>169000</v>
      </c>
    </row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132" priority="1" operator="greaterThan">
      <formula>0.9999999999</formula>
    </cfRule>
    <cfRule type="cellIs" dxfId="131" priority="2" operator="lessThan">
      <formula>1</formula>
    </cfRule>
  </conditionalFormatting>
  <conditionalFormatting sqref="B38">
    <cfRule type="cellIs" dxfId="130" priority="3" operator="greaterThan">
      <formula>5.9999</formula>
    </cfRule>
    <cfRule type="cellIs" dxfId="129" priority="4" operator="lessThan">
      <formula>3</formula>
    </cfRule>
  </conditionalFormatting>
  <conditionalFormatting sqref="B44">
    <cfRule type="cellIs" dxfId="128" priority="5" operator="greaterThan">
      <formula>0.29</formula>
    </cfRule>
    <cfRule type="cellIs" dxfId="127" priority="6" operator="lessThan">
      <formula>0.05</formula>
    </cfRule>
    <cfRule type="cellIs" dxfId="126" priority="7" operator="greaterThan">
      <formula>0.049</formula>
    </cfRule>
  </conditionalFormatting>
  <conditionalFormatting sqref="B50">
    <cfRule type="cellIs" dxfId="125" priority="8" operator="greaterThan">
      <formula>0.49</formula>
    </cfRule>
    <cfRule type="cellIs" dxfId="124" priority="9" operator="lessThan">
      <formula>0.41</formula>
    </cfRule>
  </conditionalFormatting>
  <conditionalFormatting sqref="B56">
    <cfRule type="cellIs" dxfId="123" priority="10" operator="lessThan">
      <formula>0.41</formula>
    </cfRule>
    <cfRule type="cellIs" dxfId="122" priority="11" operator="greaterThan">
      <formula>0.59</formula>
    </cfRule>
  </conditionalFormatting>
  <conditionalFormatting sqref="B62">
    <cfRule type="cellIs" dxfId="121" priority="12" operator="greaterThan">
      <formula>0.39</formula>
    </cfRule>
    <cfRule type="cellIs" dxfId="120" priority="13" operator="lessThan">
      <formula>0.281</formula>
    </cfRule>
  </conditionalFormatting>
  <conditionalFormatting sqref="B68">
    <cfRule type="cellIs" dxfId="119" priority="14" operator="greaterThan">
      <formula>0.39</formula>
    </cfRule>
    <cfRule type="cellIs" dxfId="118" priority="15" operator="lessThan">
      <formula>0.281</formula>
    </cfRule>
  </conditionalFormatting>
  <conditionalFormatting sqref="B74">
    <cfRule type="cellIs" dxfId="117" priority="16" operator="lessThan">
      <formula>0.1</formula>
    </cfRule>
    <cfRule type="cellIs" dxfId="116" priority="17" operator="greaterThan">
      <formula>0.19</formula>
    </cfRule>
  </conditionalFormatting>
  <conditionalFormatting sqref="B80">
    <cfRule type="cellIs" dxfId="115" priority="18" operator="lessThan">
      <formula>0.3</formula>
    </cfRule>
    <cfRule type="cellIs" dxfId="114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625" customWidth="1"/>
    <col min="3" max="3" width="13.75" customWidth="1"/>
    <col min="4" max="4" width="19.125" customWidth="1"/>
    <col min="5" max="5" width="17.3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23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DATA!B40</f>
        <v>10</v>
      </c>
      <c r="B2" s="11">
        <f>DATA!E40</f>
        <v>48091.17469533399</v>
      </c>
      <c r="C2" s="11">
        <f>DATA!F40</f>
        <v>577094.09634400788</v>
      </c>
      <c r="D2" s="11">
        <f>DATA!G40</f>
        <v>376097.20727040013</v>
      </c>
      <c r="E2" s="11">
        <f>DATA!H40</f>
        <v>953191.30361440801</v>
      </c>
      <c r="F2" s="11">
        <f>DATA!I40</f>
        <v>79432.608634534001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'9'!I21+F10</f>
        <v>933579.5221398162</v>
      </c>
      <c r="K4" s="19" t="s">
        <v>227</v>
      </c>
      <c r="L4" s="61">
        <f>DATA!G12</f>
        <v>33139.199999999997</v>
      </c>
    </row>
    <row r="5" spans="1:12" ht="14.25" customHeight="1" x14ac:dyDescent="0.2">
      <c r="H5" s="19" t="s">
        <v>228</v>
      </c>
      <c r="I5" s="19" t="s">
        <v>157</v>
      </c>
      <c r="K5" s="1" t="s">
        <v>194</v>
      </c>
      <c r="L5" s="61">
        <f>DATA!C96</f>
        <v>150444</v>
      </c>
    </row>
    <row r="6" spans="1:12" ht="14.25" customHeight="1" x14ac:dyDescent="0.2">
      <c r="K6" s="1" t="s">
        <v>260</v>
      </c>
      <c r="L6" s="1">
        <f>DATA!F96</f>
        <v>177680.8039749396</v>
      </c>
    </row>
    <row r="7" spans="1:12" ht="14.25" customHeight="1" x14ac:dyDescent="0.2">
      <c r="H7" s="19"/>
      <c r="I7" s="19" t="s">
        <v>229</v>
      </c>
    </row>
    <row r="8" spans="1:12" ht="14.25" customHeight="1" x14ac:dyDescent="0.2">
      <c r="C8" s="39">
        <v>10</v>
      </c>
      <c r="H8" s="19" t="s">
        <v>231</v>
      </c>
      <c r="I8" s="19"/>
      <c r="K8" s="14" t="s">
        <v>230</v>
      </c>
      <c r="L8" s="25">
        <f>SUM(L4:L6)</f>
        <v>361264.00397493958</v>
      </c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114717.26643230242</v>
      </c>
      <c r="K10" s="19"/>
      <c r="L10" s="19" t="s">
        <v>234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 t="s">
        <v>227</v>
      </c>
      <c r="L11" s="61">
        <f>DATA!G18-SUM(DATA!G3:G12)</f>
        <v>217920.00000000006</v>
      </c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  <c r="K12" s="1" t="s">
        <v>194</v>
      </c>
      <c r="L12" s="61">
        <f>'9'!L11-L5</f>
        <v>451332</v>
      </c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" t="s">
        <v>260</v>
      </c>
      <c r="L13" s="1">
        <f>DATA!F103-L6</f>
        <v>5152743.3152732486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DATA!C71</f>
        <v>1150</v>
      </c>
      <c r="C15" s="1">
        <f>B15*C9</f>
        <v>13800</v>
      </c>
      <c r="H15" s="19" t="s">
        <v>244</v>
      </c>
      <c r="I15" s="19"/>
      <c r="K15" s="14" t="s">
        <v>242</v>
      </c>
      <c r="L15" s="25">
        <f>SUM(L11:L13)</f>
        <v>5821995.3152732486</v>
      </c>
    </row>
    <row r="16" spans="1:12" ht="14.25" customHeight="1" x14ac:dyDescent="0.2">
      <c r="A16" s="1" t="s">
        <v>227</v>
      </c>
      <c r="B16" s="1">
        <f>C16/C9</f>
        <v>2761.6</v>
      </c>
      <c r="C16" s="88">
        <f t="shared" ref="C16:C18" si="1">L4</f>
        <v>33139.199999999997</v>
      </c>
    </row>
    <row r="17" spans="1:12" ht="14.25" customHeight="1" x14ac:dyDescent="0.2">
      <c r="A17" s="1" t="s">
        <v>194</v>
      </c>
      <c r="B17" s="1">
        <f>C17/12</f>
        <v>12537</v>
      </c>
      <c r="C17" s="88">
        <f t="shared" si="1"/>
        <v>150444</v>
      </c>
      <c r="H17" s="19"/>
      <c r="I17" s="19" t="s">
        <v>245</v>
      </c>
    </row>
    <row r="18" spans="1:12" ht="14.25" customHeight="1" x14ac:dyDescent="0.2">
      <c r="A18" s="1" t="s">
        <v>260</v>
      </c>
      <c r="B18" s="1">
        <f>C18/C9</f>
        <v>14806.7336645783</v>
      </c>
      <c r="C18" s="1">
        <f t="shared" si="1"/>
        <v>177680.8039749396</v>
      </c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2">B19*$C$9</f>
        <v>24000</v>
      </c>
    </row>
    <row r="20" spans="1:12" ht="14.25" customHeight="1" x14ac:dyDescent="0.2">
      <c r="A20" s="1" t="s">
        <v>248</v>
      </c>
      <c r="B20" s="1">
        <v>2000</v>
      </c>
      <c r="C20" s="1">
        <f t="shared" si="2"/>
        <v>24000</v>
      </c>
      <c r="E20" s="80" t="s">
        <v>33</v>
      </c>
      <c r="F20" s="11">
        <f>I31-L21</f>
        <v>1066146.0393065307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3">B21*C8</f>
        <v>0</v>
      </c>
      <c r="H21" s="89" t="str">
        <f>A30</f>
        <v>สินทรัพย์สภาพคล่อง</v>
      </c>
      <c r="I21" s="90">
        <f>(SUM(I4:I5)+SUM(I8:I9)+SUM(I12:I15)+SUM(I18))-G37-I23</f>
        <v>11655.774106182391</v>
      </c>
      <c r="K21" s="41" t="s">
        <v>94</v>
      </c>
      <c r="L21" s="90">
        <f>L8+L15</f>
        <v>6183259.3192481883</v>
      </c>
    </row>
    <row r="22" spans="1:12" ht="14.25" customHeight="1" x14ac:dyDescent="0.2">
      <c r="A22" s="1" t="s">
        <v>250</v>
      </c>
      <c r="B22" s="1">
        <v>550</v>
      </c>
      <c r="C22" s="1">
        <f t="shared" si="3"/>
        <v>6600</v>
      </c>
    </row>
    <row r="23" spans="1:12" ht="14.25" customHeight="1" x14ac:dyDescent="0.2">
      <c r="A23" s="1" t="s">
        <v>259</v>
      </c>
      <c r="B23" s="1">
        <v>10000</v>
      </c>
      <c r="C23" s="1">
        <f>B23*C9</f>
        <v>120000</v>
      </c>
      <c r="H23" s="1" t="s">
        <v>199</v>
      </c>
      <c r="I23" s="11">
        <f>DATA!F98</f>
        <v>878000</v>
      </c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63732.033207165987</v>
      </c>
      <c r="F25" s="80"/>
    </row>
    <row r="26" spans="1:12" ht="14.25" customHeight="1" x14ac:dyDescent="0.2">
      <c r="B26" s="19" t="s">
        <v>252</v>
      </c>
      <c r="C26" s="37">
        <f>SUM(C10:C25)</f>
        <v>838474.03718210559</v>
      </c>
    </row>
    <row r="27" spans="1:12" ht="14.25" customHeight="1" x14ac:dyDescent="0.2">
      <c r="B27" s="19" t="s">
        <v>64</v>
      </c>
      <c r="C27" s="37">
        <f>C26/C9</f>
        <v>69872.836431842137</v>
      </c>
      <c r="G27" s="98">
        <v>0.4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11655.774106182391</v>
      </c>
      <c r="E29" s="1">
        <v>2</v>
      </c>
      <c r="F29" s="1" t="s">
        <v>214</v>
      </c>
      <c r="G29" s="1">
        <f>DATA!B159</f>
        <v>64986.107725159127</v>
      </c>
      <c r="I29" s="88">
        <f>DATA!C90</f>
        <v>1094000</v>
      </c>
    </row>
    <row r="30" spans="1:12" ht="14.25" customHeight="1" x14ac:dyDescent="0.2">
      <c r="A30" s="80" t="s">
        <v>4</v>
      </c>
      <c r="B30" s="80">
        <f>I21</f>
        <v>11655.774106182391</v>
      </c>
      <c r="C30" s="80"/>
      <c r="E30" s="1">
        <v>3</v>
      </c>
      <c r="F30" s="1" t="s">
        <v>214</v>
      </c>
      <c r="G30" s="1">
        <f>DATA!C159</f>
        <v>59997.691142621305</v>
      </c>
      <c r="I30" s="1">
        <f>DATA!F103</f>
        <v>5330424.1192481881</v>
      </c>
    </row>
    <row r="31" spans="1:12" ht="14.25" customHeight="1" x14ac:dyDescent="0.2">
      <c r="A31" s="80" t="s">
        <v>32</v>
      </c>
      <c r="B31" s="80">
        <f>L8</f>
        <v>361264.00397493958</v>
      </c>
      <c r="C31" s="80"/>
      <c r="E31" s="1">
        <v>4</v>
      </c>
      <c r="F31" s="1" t="s">
        <v>214</v>
      </c>
      <c r="G31" s="1">
        <f>DATA!D159</f>
        <v>111994.01316704247</v>
      </c>
      <c r="I31" s="11">
        <f>I21+G43+I29+I30</f>
        <v>7249405.358554719</v>
      </c>
    </row>
    <row r="32" spans="1:12" ht="14.25" customHeight="1" x14ac:dyDescent="0.2">
      <c r="A32" s="80"/>
      <c r="B32" s="94">
        <f>B30/B31</f>
        <v>3.2263867913590795E-2</v>
      </c>
      <c r="C32" s="80" t="s">
        <v>38</v>
      </c>
      <c r="E32" s="1">
        <v>5</v>
      </c>
      <c r="F32" s="1" t="s">
        <v>214</v>
      </c>
      <c r="G32" s="1">
        <f>DATA!E159</f>
        <v>112735.90957391447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DATA!F159</f>
        <v>139569.368745382</v>
      </c>
    </row>
    <row r="34" spans="1:7" ht="14.25" customHeight="1" x14ac:dyDescent="0.2">
      <c r="A34" s="80"/>
      <c r="B34" s="80" t="s">
        <v>48</v>
      </c>
      <c r="C34" s="80"/>
      <c r="E34" s="1">
        <v>7</v>
      </c>
      <c r="F34" s="1" t="s">
        <v>213</v>
      </c>
      <c r="G34" s="1">
        <f>DATA!G159</f>
        <v>77954.20999054717</v>
      </c>
    </row>
    <row r="35" spans="1:7" ht="14.25" customHeight="1" x14ac:dyDescent="0.2">
      <c r="A35" s="80"/>
      <c r="B35" s="80" t="s">
        <v>54</v>
      </c>
      <c r="C35" s="80"/>
      <c r="E35" s="1">
        <v>8</v>
      </c>
      <c r="F35" s="1" t="s">
        <v>213</v>
      </c>
      <c r="G35" s="1">
        <f>DATA!H159</f>
        <v>98888.269017508734</v>
      </c>
    </row>
    <row r="36" spans="1:7" ht="14.25" customHeight="1" x14ac:dyDescent="0.2">
      <c r="A36" s="80" t="s">
        <v>4</v>
      </c>
      <c r="B36" s="80">
        <f>B30</f>
        <v>11655.774106182391</v>
      </c>
      <c r="C36" s="80"/>
      <c r="E36" s="1">
        <v>9</v>
      </c>
      <c r="F36" s="1" t="s">
        <v>213</v>
      </c>
      <c r="G36" s="1">
        <f>DATA!I159</f>
        <v>103276.14780453924</v>
      </c>
    </row>
    <row r="37" spans="1:7" ht="14.25" customHeight="1" x14ac:dyDescent="0.2">
      <c r="A37" s="80" t="s">
        <v>60</v>
      </c>
      <c r="B37" s="80">
        <f>C27</f>
        <v>69872.836431842137</v>
      </c>
      <c r="C37" s="80"/>
      <c r="E37" s="1">
        <v>10</v>
      </c>
      <c r="F37" s="1" t="s">
        <v>211</v>
      </c>
      <c r="G37" s="1">
        <f>DATA!J159</f>
        <v>43923.748033633754</v>
      </c>
    </row>
    <row r="38" spans="1:7" ht="14.25" customHeight="1" x14ac:dyDescent="0.2">
      <c r="A38" s="80"/>
      <c r="B38" s="94">
        <f>B36/B37</f>
        <v>0.16681409688516199</v>
      </c>
      <c r="C38" s="80" t="s">
        <v>38</v>
      </c>
      <c r="E38" s="1">
        <v>11</v>
      </c>
    </row>
    <row r="39" spans="1:7" ht="14.25" customHeight="1" x14ac:dyDescent="0.2">
      <c r="E39" s="1">
        <v>12</v>
      </c>
    </row>
    <row r="40" spans="1:7" ht="14.25" customHeight="1" x14ac:dyDescent="0.2">
      <c r="A40" s="80"/>
      <c r="B40" s="80" t="s">
        <v>68</v>
      </c>
      <c r="E40" s="1">
        <v>13</v>
      </c>
    </row>
    <row r="41" spans="1:7" ht="14.25" customHeight="1" x14ac:dyDescent="0.2">
      <c r="A41" s="80"/>
      <c r="B41" s="80" t="s">
        <v>71</v>
      </c>
      <c r="E41" s="1">
        <v>14</v>
      </c>
    </row>
    <row r="42" spans="1:7" ht="14.25" customHeight="1" x14ac:dyDescent="0.2">
      <c r="A42" s="80" t="s">
        <v>4</v>
      </c>
      <c r="B42" s="80">
        <f>B30</f>
        <v>11655.774106182391</v>
      </c>
      <c r="E42" s="1">
        <v>15</v>
      </c>
    </row>
    <row r="43" spans="1:7" ht="14.25" customHeight="1" x14ac:dyDescent="0.2">
      <c r="A43" s="80" t="s">
        <v>33</v>
      </c>
      <c r="B43" s="80">
        <f>F20</f>
        <v>1066146.0393065307</v>
      </c>
      <c r="G43" s="1">
        <f>SUM(G29:G42)</f>
        <v>813325.46520034841</v>
      </c>
    </row>
    <row r="44" spans="1:7" ht="14.25" customHeight="1" x14ac:dyDescent="0.2">
      <c r="A44" s="80"/>
      <c r="B44" s="77">
        <f>B42/B43</f>
        <v>1.0932624308920971E-2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6183259.3192481883</v>
      </c>
      <c r="C48" s="80"/>
    </row>
    <row r="49" spans="1:6" ht="14.25" customHeight="1" x14ac:dyDescent="0.2">
      <c r="A49" s="80" t="s">
        <v>39</v>
      </c>
      <c r="B49" s="80">
        <f>I31</f>
        <v>7249405.358554719</v>
      </c>
      <c r="C49" s="80"/>
    </row>
    <row r="50" spans="1:6" ht="14.25" customHeight="1" x14ac:dyDescent="0.2">
      <c r="A50" s="80"/>
      <c r="B50" s="77">
        <f>B48/B49</f>
        <v>0.85293331155107555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1066146.0393065307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7249405.358554719</v>
      </c>
      <c r="C55" s="80"/>
    </row>
    <row r="56" spans="1:6" ht="14.25" customHeight="1" x14ac:dyDescent="0.2">
      <c r="A56" s="80"/>
      <c r="B56" s="77">
        <f>B54/B55</f>
        <v>0.14706668844892451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L8</f>
        <v>361264.00397493958</v>
      </c>
    </row>
    <row r="61" spans="1:6" ht="14.25" customHeight="1" x14ac:dyDescent="0.2">
      <c r="A61" s="80" t="s">
        <v>107</v>
      </c>
      <c r="B61" s="80">
        <f>E2</f>
        <v>953191.30361440801</v>
      </c>
      <c r="F61" s="80"/>
    </row>
    <row r="62" spans="1:6" ht="14.25" customHeight="1" x14ac:dyDescent="0.2">
      <c r="A62" s="80"/>
      <c r="B62" s="32">
        <f>B60/B61</f>
        <v>0.37900472088348047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4">B60/12</f>
        <v>30105.333664578298</v>
      </c>
    </row>
    <row r="67" spans="1:6" ht="14.25" customHeight="1" x14ac:dyDescent="0.2">
      <c r="A67" s="80" t="s">
        <v>258</v>
      </c>
      <c r="B67" s="80">
        <f t="shared" si="4"/>
        <v>79432.608634534001</v>
      </c>
    </row>
    <row r="68" spans="1:6" ht="14.25" customHeight="1" x14ac:dyDescent="0.2">
      <c r="A68" s="80"/>
      <c r="B68" s="32">
        <f>B66/B67</f>
        <v>0.37900472088348047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11655.774106182391</v>
      </c>
    </row>
    <row r="73" spans="1:6" ht="14.25" customHeight="1" x14ac:dyDescent="0.2">
      <c r="A73" s="80" t="s">
        <v>138</v>
      </c>
      <c r="B73" s="80">
        <f>E2</f>
        <v>953191.30361440801</v>
      </c>
    </row>
    <row r="74" spans="1:6" ht="14.25" customHeight="1" x14ac:dyDescent="0.2">
      <c r="A74" s="80"/>
      <c r="B74" s="77">
        <f>B72/B73</f>
        <v>1.2228158253211961E-2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G43</f>
        <v>813325.46520034841</v>
      </c>
      <c r="C78" s="80"/>
    </row>
    <row r="79" spans="1:6" ht="14.25" customHeight="1" x14ac:dyDescent="0.2">
      <c r="A79" s="80" t="s">
        <v>33</v>
      </c>
      <c r="B79" s="80">
        <f>B43</f>
        <v>1066146.0393065307</v>
      </c>
      <c r="C79" s="80"/>
    </row>
    <row r="80" spans="1:6" ht="14.25" customHeight="1" x14ac:dyDescent="0.2">
      <c r="A80" s="80"/>
      <c r="B80" s="77">
        <f>B78/B79</f>
        <v>0.76286496897683154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A91-B108</f>
        <v>741546.88804777327</v>
      </c>
    </row>
    <row r="91" spans="1:5" ht="14.25" customHeight="1" x14ac:dyDescent="0.2">
      <c r="A91" s="96">
        <f>E2</f>
        <v>953191.30361440801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5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5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200000</v>
      </c>
      <c r="D95" s="24">
        <v>0.1</v>
      </c>
      <c r="E95" s="25">
        <f t="shared" si="5"/>
        <v>20000</v>
      </c>
    </row>
    <row r="96" spans="1:5" ht="14.25" customHeight="1" x14ac:dyDescent="0.2">
      <c r="B96" s="22" t="s">
        <v>52</v>
      </c>
      <c r="C96" s="23">
        <f>IF((A90-C93-C94-C95)&gt;=250000,250000,(A90-C93-C94-C95))</f>
        <v>241546.88804777327</v>
      </c>
      <c r="D96" s="24">
        <v>0.15</v>
      </c>
      <c r="E96" s="25">
        <f t="shared" si="5"/>
        <v>36232.033207165987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0</v>
      </c>
      <c r="D97" s="24">
        <v>0.2</v>
      </c>
      <c r="E97" s="25">
        <f t="shared" si="5"/>
        <v>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5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5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5"/>
        <v>0</v>
      </c>
    </row>
    <row r="101" spans="1:5" ht="14.25" customHeight="1" x14ac:dyDescent="0.35">
      <c r="E101" s="97">
        <f>SUM(E93:E100)</f>
        <v>63732.033207165987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A107" s="19" t="s">
        <v>211</v>
      </c>
      <c r="B107" s="19">
        <f>DATA!E141</f>
        <v>42644.415566634714</v>
      </c>
    </row>
    <row r="108" spans="1:5" ht="14.25" customHeight="1" x14ac:dyDescent="0.2">
      <c r="B108" s="45">
        <f>SUM(B104:B107)</f>
        <v>211644.41556663471</v>
      </c>
    </row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113" priority="1" operator="greaterThan">
      <formula>0.9999999999</formula>
    </cfRule>
    <cfRule type="cellIs" dxfId="112" priority="2" operator="lessThan">
      <formula>1</formula>
    </cfRule>
  </conditionalFormatting>
  <conditionalFormatting sqref="B38">
    <cfRule type="cellIs" dxfId="111" priority="3" operator="greaterThan">
      <formula>5.9999</formula>
    </cfRule>
    <cfRule type="cellIs" dxfId="110" priority="4" operator="lessThan">
      <formula>3</formula>
    </cfRule>
  </conditionalFormatting>
  <conditionalFormatting sqref="B44">
    <cfRule type="cellIs" dxfId="109" priority="5" operator="greaterThan">
      <formula>0.29</formula>
    </cfRule>
    <cfRule type="cellIs" dxfId="108" priority="6" operator="lessThan">
      <formula>0.05</formula>
    </cfRule>
    <cfRule type="cellIs" dxfId="107" priority="7" operator="greaterThan">
      <formula>0.049</formula>
    </cfRule>
  </conditionalFormatting>
  <conditionalFormatting sqref="B50">
    <cfRule type="cellIs" dxfId="106" priority="8" operator="greaterThan">
      <formula>0.49</formula>
    </cfRule>
    <cfRule type="cellIs" dxfId="105" priority="9" operator="lessThan">
      <formula>0.41</formula>
    </cfRule>
  </conditionalFormatting>
  <conditionalFormatting sqref="B56">
    <cfRule type="cellIs" dxfId="104" priority="10" operator="lessThan">
      <formula>0.41</formula>
    </cfRule>
    <cfRule type="cellIs" dxfId="103" priority="11" operator="greaterThan">
      <formula>0.59</formula>
    </cfRule>
  </conditionalFormatting>
  <conditionalFormatting sqref="B62">
    <cfRule type="cellIs" dxfId="102" priority="12" operator="greaterThan">
      <formula>0.39</formula>
    </cfRule>
    <cfRule type="cellIs" dxfId="101" priority="13" operator="lessThan">
      <formula>0.281</formula>
    </cfRule>
  </conditionalFormatting>
  <conditionalFormatting sqref="B68">
    <cfRule type="cellIs" dxfId="100" priority="14" operator="greaterThan">
      <formula>0.39</formula>
    </cfRule>
    <cfRule type="cellIs" dxfId="99" priority="15" operator="lessThan">
      <formula>0.281</formula>
    </cfRule>
  </conditionalFormatting>
  <conditionalFormatting sqref="B74">
    <cfRule type="cellIs" dxfId="98" priority="16" operator="lessThan">
      <formula>0.1</formula>
    </cfRule>
    <cfRule type="cellIs" dxfId="97" priority="17" operator="greaterThan">
      <formula>0.19</formula>
    </cfRule>
  </conditionalFormatting>
  <conditionalFormatting sqref="B80">
    <cfRule type="cellIs" dxfId="96" priority="18" operator="lessThan">
      <formula>0.3</formula>
    </cfRule>
    <cfRule type="cellIs" dxfId="95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375" customWidth="1"/>
    <col min="3" max="3" width="13.625" customWidth="1"/>
    <col min="4" max="4" width="19" customWidth="1"/>
    <col min="5" max="5" width="19.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23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DATA!B41</f>
        <v>11</v>
      </c>
      <c r="B2" s="88">
        <f>DATA!E41</f>
        <v>50495.733430100692</v>
      </c>
      <c r="C2" s="88">
        <f>DATA!F41</f>
        <v>605948.80116120831</v>
      </c>
      <c r="D2" s="99">
        <f>DATA!G41</f>
        <v>526536.09017856012</v>
      </c>
      <c r="E2" s="88">
        <f>DATA!H41</f>
        <v>1132484.8913397684</v>
      </c>
      <c r="F2" s="88">
        <f>DATA!I41</f>
        <v>94373.740944980702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'10'!I21+F10</f>
        <v>288264.8008398388</v>
      </c>
      <c r="K4" s="19" t="s">
        <v>227</v>
      </c>
      <c r="L4" s="61">
        <f>DATA!G13</f>
        <v>36672</v>
      </c>
    </row>
    <row r="5" spans="1:12" ht="14.25" customHeight="1" x14ac:dyDescent="0.2">
      <c r="H5" s="19" t="s">
        <v>228</v>
      </c>
      <c r="I5" s="19" t="s">
        <v>157</v>
      </c>
      <c r="K5" s="1" t="s">
        <v>194</v>
      </c>
      <c r="L5" s="61">
        <f>DATA!C96</f>
        <v>150444</v>
      </c>
    </row>
    <row r="6" spans="1:12" ht="14.25" customHeight="1" x14ac:dyDescent="0.2">
      <c r="K6" s="1" t="s">
        <v>260</v>
      </c>
      <c r="L6" s="1">
        <f>DATA!F96</f>
        <v>177680.8039749396</v>
      </c>
    </row>
    <row r="7" spans="1:12" ht="14.25" customHeight="1" x14ac:dyDescent="0.2">
      <c r="H7" s="19"/>
      <c r="I7" s="19" t="s">
        <v>229</v>
      </c>
    </row>
    <row r="8" spans="1:12" ht="14.25" customHeight="1" x14ac:dyDescent="0.2">
      <c r="C8" s="39">
        <v>10</v>
      </c>
      <c r="H8" s="19" t="s">
        <v>231</v>
      </c>
      <c r="I8" s="19"/>
      <c r="K8" s="14" t="s">
        <v>230</v>
      </c>
      <c r="L8" s="25">
        <f>SUM(L4:L6)</f>
        <v>364796.80397493963</v>
      </c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276609.02673365641</v>
      </c>
      <c r="K10" s="19"/>
      <c r="L10" s="19" t="s">
        <v>234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 t="s">
        <v>227</v>
      </c>
      <c r="L11" s="61">
        <f>DATA!G18-SUM(DATA!G3:G13)</f>
        <v>181248.00000000006</v>
      </c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  <c r="K12" s="1" t="s">
        <v>194</v>
      </c>
      <c r="L12" s="61">
        <f>'10'!L12-L5</f>
        <v>300888</v>
      </c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" t="s">
        <v>260</v>
      </c>
      <c r="L13" s="1">
        <f>'10'!L13-L6</f>
        <v>4975062.5112983091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DATA!C71</f>
        <v>1150</v>
      </c>
      <c r="C15" s="1">
        <f>B15*C9</f>
        <v>13800</v>
      </c>
      <c r="H15" s="19" t="s">
        <v>244</v>
      </c>
      <c r="I15" s="19"/>
      <c r="K15" s="14" t="s">
        <v>242</v>
      </c>
      <c r="L15" s="25">
        <f>SUM(L11:L13)</f>
        <v>5457198.5112983091</v>
      </c>
    </row>
    <row r="16" spans="1:12" ht="14.25" customHeight="1" x14ac:dyDescent="0.2">
      <c r="A16" s="1" t="s">
        <v>227</v>
      </c>
      <c r="B16" s="1">
        <f>C16/C9</f>
        <v>3056</v>
      </c>
      <c r="C16" s="88">
        <f t="shared" ref="C16:C18" si="1">L4</f>
        <v>36672</v>
      </c>
    </row>
    <row r="17" spans="1:12" ht="14.25" customHeight="1" x14ac:dyDescent="0.2">
      <c r="A17" s="1" t="s">
        <v>194</v>
      </c>
      <c r="B17" s="1">
        <f>C17/12</f>
        <v>12537</v>
      </c>
      <c r="C17" s="88">
        <f t="shared" si="1"/>
        <v>150444</v>
      </c>
      <c r="H17" s="19"/>
      <c r="I17" s="19" t="s">
        <v>245</v>
      </c>
    </row>
    <row r="18" spans="1:12" ht="14.25" customHeight="1" x14ac:dyDescent="0.2">
      <c r="A18" s="1" t="s">
        <v>260</v>
      </c>
      <c r="B18" s="1">
        <f>C18/C9</f>
        <v>14806.7336645783</v>
      </c>
      <c r="C18" s="1">
        <f t="shared" si="1"/>
        <v>177680.8039749396</v>
      </c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2">B19*$C$9</f>
        <v>24000</v>
      </c>
    </row>
    <row r="20" spans="1:12" ht="14.25" customHeight="1" x14ac:dyDescent="0.2">
      <c r="A20" s="1" t="s">
        <v>248</v>
      </c>
      <c r="B20" s="1">
        <v>1000</v>
      </c>
      <c r="C20" s="1">
        <f t="shared" si="2"/>
        <v>12000</v>
      </c>
      <c r="E20" s="80" t="s">
        <v>33</v>
      </c>
      <c r="F20" s="11">
        <f>I31-L21</f>
        <v>1748943.6721245898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3">B21*C8</f>
        <v>0</v>
      </c>
      <c r="H21" s="89" t="str">
        <f>A30</f>
        <v>สินทรัพย์สภาพคล่อง</v>
      </c>
      <c r="I21" s="90">
        <f>(SUM(I4:I5)+SUM(I8:I9)+SUM(I12:I15)+SUM(I18))-G38</f>
        <v>195070.82501041534</v>
      </c>
      <c r="K21" s="41" t="s">
        <v>94</v>
      </c>
      <c r="L21" s="90">
        <f>L8+L15</f>
        <v>5821995.3152732486</v>
      </c>
    </row>
    <row r="22" spans="1:12" ht="14.25" customHeight="1" x14ac:dyDescent="0.2">
      <c r="A22" s="1" t="s">
        <v>250</v>
      </c>
      <c r="B22" s="1">
        <v>550</v>
      </c>
      <c r="C22" s="1">
        <f t="shared" si="3"/>
        <v>6600</v>
      </c>
    </row>
    <row r="23" spans="1:12" ht="14.25" customHeight="1" x14ac:dyDescent="0.2">
      <c r="A23" s="1" t="s">
        <v>259</v>
      </c>
      <c r="B23" s="1">
        <v>10000</v>
      </c>
      <c r="C23" s="1">
        <f>B23*C9</f>
        <v>120000</v>
      </c>
      <c r="I23" s="11"/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89601.060631172426</v>
      </c>
      <c r="F25" s="80"/>
    </row>
    <row r="26" spans="1:12" ht="14.25" customHeight="1" x14ac:dyDescent="0.2">
      <c r="B26" s="19" t="s">
        <v>252</v>
      </c>
      <c r="C26" s="37">
        <f>SUM(C10:C25)</f>
        <v>855875.86460611201</v>
      </c>
    </row>
    <row r="27" spans="1:12" ht="14.25" customHeight="1" x14ac:dyDescent="0.2">
      <c r="B27" s="19" t="s">
        <v>64</v>
      </c>
      <c r="C27" s="37">
        <f>C26/C9</f>
        <v>71322.988717176006</v>
      </c>
      <c r="G27" s="98">
        <v>0.35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195070.82501041534</v>
      </c>
      <c r="E29" s="1">
        <v>2</v>
      </c>
      <c r="F29" s="1" t="s">
        <v>214</v>
      </c>
      <c r="G29" s="1">
        <f>DATA!B160</f>
        <v>67260.621495539686</v>
      </c>
      <c r="I29" s="88">
        <f>DATA!C90</f>
        <v>1094000</v>
      </c>
    </row>
    <row r="30" spans="1:12" ht="14.25" customHeight="1" x14ac:dyDescent="0.2">
      <c r="A30" s="80" t="s">
        <v>4</v>
      </c>
      <c r="B30" s="80">
        <f>I21</f>
        <v>195070.82501041534</v>
      </c>
      <c r="C30" s="80"/>
      <c r="E30" s="1">
        <v>3</v>
      </c>
      <c r="F30" s="1" t="s">
        <v>214</v>
      </c>
      <c r="G30" s="1">
        <f>DATA!C160</f>
        <v>62097.61033261304</v>
      </c>
      <c r="I30" s="1">
        <f>DATA!F103</f>
        <v>5330424.1192481881</v>
      </c>
    </row>
    <row r="31" spans="1:12" ht="14.25" customHeight="1" x14ac:dyDescent="0.2">
      <c r="A31" s="80" t="s">
        <v>32</v>
      </c>
      <c r="B31" s="80">
        <f>L8</f>
        <v>364796.80397493963</v>
      </c>
      <c r="C31" s="80"/>
      <c r="E31" s="1">
        <v>4</v>
      </c>
      <c r="F31" s="1" t="s">
        <v>214</v>
      </c>
      <c r="G31" s="1">
        <f>DATA!D160</f>
        <v>115913.80362788893</v>
      </c>
      <c r="I31" s="11">
        <f>I21+G43+I29+I30</f>
        <v>7570938.9873978384</v>
      </c>
    </row>
    <row r="32" spans="1:12" ht="14.25" customHeight="1" x14ac:dyDescent="0.2">
      <c r="A32" s="80"/>
      <c r="B32" s="94">
        <f>B30/B31</f>
        <v>0.53473830605110262</v>
      </c>
      <c r="C32" s="80" t="s">
        <v>38</v>
      </c>
      <c r="E32" s="1">
        <v>5</v>
      </c>
      <c r="F32" s="1" t="s">
        <v>214</v>
      </c>
      <c r="G32" s="1">
        <f>DATA!E160</f>
        <v>116681.66640900147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DATA!F160</f>
        <v>144325.00861033407</v>
      </c>
    </row>
    <row r="34" spans="1:7" ht="14.25" customHeight="1" x14ac:dyDescent="0.2">
      <c r="A34" s="80"/>
      <c r="B34" s="80" t="s">
        <v>48</v>
      </c>
      <c r="C34" s="80"/>
      <c r="E34" s="1">
        <v>7</v>
      </c>
      <c r="F34" s="1" t="s">
        <v>213</v>
      </c>
      <c r="G34" s="1">
        <f>DATA!G160</f>
        <v>85359.859939649148</v>
      </c>
    </row>
    <row r="35" spans="1:7" ht="14.25" customHeight="1" x14ac:dyDescent="0.2">
      <c r="A35" s="80"/>
      <c r="B35" s="80" t="s">
        <v>54</v>
      </c>
      <c r="C35" s="80"/>
      <c r="E35" s="1">
        <v>8</v>
      </c>
      <c r="F35" s="1" t="s">
        <v>213</v>
      </c>
      <c r="G35" s="1">
        <f>DATA!H160</f>
        <v>108282.65457417208</v>
      </c>
    </row>
    <row r="36" spans="1:7" ht="14.25" customHeight="1" x14ac:dyDescent="0.2">
      <c r="A36" s="80" t="s">
        <v>4</v>
      </c>
      <c r="B36" s="80">
        <f>B30</f>
        <v>195070.82501041534</v>
      </c>
      <c r="C36" s="80"/>
      <c r="E36" s="1">
        <v>9</v>
      </c>
      <c r="F36" s="1" t="s">
        <v>213</v>
      </c>
      <c r="G36" s="1">
        <f>DATA!I160</f>
        <v>113087.38184597046</v>
      </c>
    </row>
    <row r="37" spans="1:7" ht="14.25" customHeight="1" x14ac:dyDescent="0.2">
      <c r="A37" s="80" t="s">
        <v>60</v>
      </c>
      <c r="B37" s="80">
        <f>C27</f>
        <v>71322.988717176006</v>
      </c>
      <c r="C37" s="80"/>
      <c r="E37" s="1">
        <v>10</v>
      </c>
      <c r="F37" s="1" t="s">
        <v>211</v>
      </c>
      <c r="G37" s="1">
        <f>DATA!J160</f>
        <v>45241.460474642765</v>
      </c>
    </row>
    <row r="38" spans="1:7" ht="14.25" customHeight="1" x14ac:dyDescent="0.2">
      <c r="A38" s="80"/>
      <c r="B38" s="94">
        <f>B36/B37</f>
        <v>2.735034362959027</v>
      </c>
      <c r="C38" s="80" t="s">
        <v>38</v>
      </c>
      <c r="E38" s="1">
        <v>11</v>
      </c>
      <c r="F38" s="1" t="s">
        <v>211</v>
      </c>
      <c r="G38" s="1">
        <f>DATA!K160</f>
        <v>93193.975829423449</v>
      </c>
    </row>
    <row r="39" spans="1:7" ht="14.25" customHeight="1" x14ac:dyDescent="0.2">
      <c r="E39" s="1">
        <v>12</v>
      </c>
    </row>
    <row r="40" spans="1:7" ht="14.25" customHeight="1" x14ac:dyDescent="0.2">
      <c r="A40" s="80"/>
      <c r="B40" s="80" t="s">
        <v>68</v>
      </c>
      <c r="E40" s="1">
        <v>13</v>
      </c>
    </row>
    <row r="41" spans="1:7" ht="14.25" customHeight="1" x14ac:dyDescent="0.2">
      <c r="A41" s="80"/>
      <c r="B41" s="80" t="s">
        <v>71</v>
      </c>
      <c r="E41" s="1">
        <v>14</v>
      </c>
    </row>
    <row r="42" spans="1:7" ht="14.25" customHeight="1" x14ac:dyDescent="0.2">
      <c r="A42" s="80" t="s">
        <v>4</v>
      </c>
      <c r="B42" s="80">
        <f>B30</f>
        <v>195070.82501041534</v>
      </c>
      <c r="E42" s="1">
        <v>15</v>
      </c>
    </row>
    <row r="43" spans="1:7" ht="14.25" customHeight="1" x14ac:dyDescent="0.2">
      <c r="A43" s="80" t="s">
        <v>33</v>
      </c>
      <c r="B43" s="80">
        <f>F20</f>
        <v>1748943.6721245898</v>
      </c>
      <c r="G43" s="1">
        <f>SUM(G29:G42)</f>
        <v>951444.04313923523</v>
      </c>
    </row>
    <row r="44" spans="1:7" ht="14.25" customHeight="1" x14ac:dyDescent="0.2">
      <c r="A44" s="80"/>
      <c r="B44" s="77">
        <f>B42/B43</f>
        <v>0.11153636799145528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5821995.3152732486</v>
      </c>
      <c r="C48" s="80"/>
    </row>
    <row r="49" spans="1:6" ht="14.25" customHeight="1" x14ac:dyDescent="0.2">
      <c r="A49" s="80" t="s">
        <v>39</v>
      </c>
      <c r="B49" s="80">
        <f>I31</f>
        <v>7570938.9873978384</v>
      </c>
      <c r="C49" s="80"/>
    </row>
    <row r="50" spans="1:6" ht="14.25" customHeight="1" x14ac:dyDescent="0.2">
      <c r="A50" s="80"/>
      <c r="B50" s="77">
        <f>B48/B49</f>
        <v>0.76899250211423131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1748943.6721245898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7570938.9873978384</v>
      </c>
      <c r="C55" s="80"/>
    </row>
    <row r="56" spans="1:6" ht="14.25" customHeight="1" x14ac:dyDescent="0.2">
      <c r="A56" s="80"/>
      <c r="B56" s="77">
        <f>B54/B55</f>
        <v>0.23100749788576869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L8</f>
        <v>364796.80397493963</v>
      </c>
    </row>
    <row r="61" spans="1:6" ht="14.25" customHeight="1" x14ac:dyDescent="0.2">
      <c r="A61" s="80" t="s">
        <v>107</v>
      </c>
      <c r="B61" s="80">
        <f>E2</f>
        <v>1132484.8913397684</v>
      </c>
      <c r="F61" s="80"/>
    </row>
    <row r="62" spans="1:6" ht="14.25" customHeight="1" x14ac:dyDescent="0.2">
      <c r="A62" s="80"/>
      <c r="B62" s="32">
        <f>B60/B61</f>
        <v>0.32212068060649579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4">B60/12</f>
        <v>30399.733664578303</v>
      </c>
    </row>
    <row r="67" spans="1:6" ht="14.25" customHeight="1" x14ac:dyDescent="0.2">
      <c r="A67" s="80" t="s">
        <v>258</v>
      </c>
      <c r="B67" s="80">
        <f t="shared" si="4"/>
        <v>94373.740944980702</v>
      </c>
    </row>
    <row r="68" spans="1:6" ht="14.25" customHeight="1" x14ac:dyDescent="0.2">
      <c r="A68" s="80"/>
      <c r="B68" s="32">
        <f>B66/B67</f>
        <v>0.32212068060649579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195070.82501041534</v>
      </c>
    </row>
    <row r="73" spans="1:6" ht="14.25" customHeight="1" x14ac:dyDescent="0.2">
      <c r="A73" s="80" t="s">
        <v>138</v>
      </c>
      <c r="B73" s="80">
        <f>E2</f>
        <v>1132484.8913397684</v>
      </c>
    </row>
    <row r="74" spans="1:6" ht="14.25" customHeight="1" x14ac:dyDescent="0.2">
      <c r="A74" s="80"/>
      <c r="B74" s="77">
        <f>B72/B73</f>
        <v>0.17225026709154581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G43</f>
        <v>951444.04313923523</v>
      </c>
      <c r="C78" s="80"/>
    </row>
    <row r="79" spans="1:6" ht="14.25" customHeight="1" x14ac:dyDescent="0.2">
      <c r="A79" s="80" t="s">
        <v>33</v>
      </c>
      <c r="B79" s="80">
        <f>B43</f>
        <v>1748943.6721245898</v>
      </c>
      <c r="C79" s="80"/>
    </row>
    <row r="80" spans="1:6" ht="14.25" customHeight="1" x14ac:dyDescent="0.2">
      <c r="A80" s="80"/>
      <c r="B80" s="77">
        <f>B78/B79</f>
        <v>0.54401068387950746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A91-B108</f>
        <v>873005.30315586214</v>
      </c>
    </row>
    <row r="91" spans="1:5" ht="14.25" customHeight="1" x14ac:dyDescent="0.2">
      <c r="A91" s="96">
        <f>E2</f>
        <v>1132484.8913397684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5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5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200000</v>
      </c>
      <c r="D95" s="24">
        <v>0.1</v>
      </c>
      <c r="E95" s="25">
        <f t="shared" si="5"/>
        <v>20000</v>
      </c>
    </row>
    <row r="96" spans="1:5" ht="14.25" customHeight="1" x14ac:dyDescent="0.2">
      <c r="B96" s="22" t="s">
        <v>52</v>
      </c>
      <c r="C96" s="23">
        <f>IF((A90-C93-C94-C95)&gt;=250000,250000,(A90-C93-C94-C95))</f>
        <v>250000</v>
      </c>
      <c r="D96" s="24">
        <v>0.15</v>
      </c>
      <c r="E96" s="25">
        <f t="shared" si="5"/>
        <v>37500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123005.30315586214</v>
      </c>
      <c r="D97" s="24">
        <v>0.2</v>
      </c>
      <c r="E97" s="25">
        <f t="shared" si="5"/>
        <v>24601.06063117243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0</v>
      </c>
      <c r="D98" s="24">
        <v>0.25</v>
      </c>
      <c r="E98" s="25">
        <f t="shared" si="5"/>
        <v>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5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5"/>
        <v>0</v>
      </c>
    </row>
    <row r="101" spans="1:5" ht="14.25" customHeight="1" x14ac:dyDescent="0.35">
      <c r="E101" s="97">
        <f>SUM(E93:E100)</f>
        <v>89601.060631172426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A107" s="19" t="s">
        <v>211</v>
      </c>
      <c r="B107" s="19">
        <f>DATA!E142</f>
        <v>90479.588183906264</v>
      </c>
    </row>
    <row r="108" spans="1:5" ht="14.25" customHeight="1" x14ac:dyDescent="0.2">
      <c r="B108" s="45">
        <f>SUM(B104:B107)</f>
        <v>259479.58818390628</v>
      </c>
    </row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94" priority="1" operator="greaterThan">
      <formula>0.9999999999</formula>
    </cfRule>
    <cfRule type="cellIs" dxfId="93" priority="2" operator="lessThan">
      <formula>1</formula>
    </cfRule>
  </conditionalFormatting>
  <conditionalFormatting sqref="B38">
    <cfRule type="cellIs" dxfId="92" priority="3" operator="greaterThan">
      <formula>5.9999</formula>
    </cfRule>
    <cfRule type="cellIs" dxfId="91" priority="4" operator="lessThan">
      <formula>3</formula>
    </cfRule>
  </conditionalFormatting>
  <conditionalFormatting sqref="B44">
    <cfRule type="cellIs" dxfId="90" priority="5" operator="greaterThan">
      <formula>0.29</formula>
    </cfRule>
    <cfRule type="cellIs" dxfId="89" priority="6" operator="lessThan">
      <formula>0.05</formula>
    </cfRule>
    <cfRule type="cellIs" dxfId="88" priority="7" operator="greaterThan">
      <formula>0.049</formula>
    </cfRule>
  </conditionalFormatting>
  <conditionalFormatting sqref="B50">
    <cfRule type="cellIs" dxfId="87" priority="8" operator="greaterThan">
      <formula>0.49</formula>
    </cfRule>
    <cfRule type="cellIs" dxfId="86" priority="9" operator="lessThan">
      <formula>0.41</formula>
    </cfRule>
  </conditionalFormatting>
  <conditionalFormatting sqref="B56">
    <cfRule type="cellIs" dxfId="85" priority="10" operator="lessThan">
      <formula>0.41</formula>
    </cfRule>
    <cfRule type="cellIs" dxfId="84" priority="11" operator="greaterThan">
      <formula>0.59</formula>
    </cfRule>
  </conditionalFormatting>
  <conditionalFormatting sqref="B62">
    <cfRule type="cellIs" dxfId="83" priority="12" operator="greaterThan">
      <formula>0.39</formula>
    </cfRule>
    <cfRule type="cellIs" dxfId="82" priority="13" operator="lessThan">
      <formula>0.281</formula>
    </cfRule>
  </conditionalFormatting>
  <conditionalFormatting sqref="B68">
    <cfRule type="cellIs" dxfId="81" priority="14" operator="greaterThan">
      <formula>0.39</formula>
    </cfRule>
    <cfRule type="cellIs" dxfId="80" priority="15" operator="lessThan">
      <formula>0.281</formula>
    </cfRule>
  </conditionalFormatting>
  <conditionalFormatting sqref="B74">
    <cfRule type="cellIs" dxfId="79" priority="16" operator="lessThan">
      <formula>0.1</formula>
    </cfRule>
    <cfRule type="cellIs" dxfId="78" priority="17" operator="greaterThan">
      <formula>0.19</formula>
    </cfRule>
  </conditionalFormatting>
  <conditionalFormatting sqref="B80">
    <cfRule type="cellIs" dxfId="77" priority="18" operator="lessThan">
      <formula>0.3</formula>
    </cfRule>
    <cfRule type="cellIs" dxfId="76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375" customWidth="1"/>
    <col min="3" max="3" width="13.625" customWidth="1"/>
    <col min="4" max="4" width="19" customWidth="1"/>
    <col min="5" max="5" width="19.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23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DATA!B42</f>
        <v>12</v>
      </c>
      <c r="B2" s="88">
        <f>DATA!E42</f>
        <v>53020.520101605733</v>
      </c>
      <c r="C2" s="88">
        <f>DATA!F42</f>
        <v>636246.24121926876</v>
      </c>
      <c r="D2" s="99">
        <f>DATA!G42</f>
        <v>737150.52624998416</v>
      </c>
      <c r="E2" s="88">
        <f>DATA!H42</f>
        <v>1373396.7674692529</v>
      </c>
      <c r="F2" s="88">
        <f>DATA!I42</f>
        <v>114449.73062243774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'11'!I21+F10</f>
        <v>610352.03380011534</v>
      </c>
      <c r="K4" s="19" t="s">
        <v>227</v>
      </c>
      <c r="L4" s="61">
        <f>DATA!G14</f>
        <v>40166.400000000001</v>
      </c>
    </row>
    <row r="5" spans="1:12" ht="14.25" customHeight="1" x14ac:dyDescent="0.2">
      <c r="H5" s="19" t="s">
        <v>228</v>
      </c>
      <c r="I5" s="19" t="s">
        <v>157</v>
      </c>
      <c r="K5" s="1" t="s">
        <v>194</v>
      </c>
      <c r="L5" s="61">
        <f>DATA!C96</f>
        <v>150444</v>
      </c>
    </row>
    <row r="6" spans="1:12" ht="14.25" customHeight="1" x14ac:dyDescent="0.2">
      <c r="K6" s="1" t="s">
        <v>260</v>
      </c>
      <c r="L6" s="1">
        <f>DATA!F96</f>
        <v>177680.8039749396</v>
      </c>
    </row>
    <row r="7" spans="1:12" ht="14.25" customHeight="1" x14ac:dyDescent="0.2">
      <c r="H7" s="19"/>
      <c r="I7" s="19" t="s">
        <v>229</v>
      </c>
    </row>
    <row r="8" spans="1:12" ht="14.25" customHeight="1" x14ac:dyDescent="0.2">
      <c r="C8" s="39">
        <v>10</v>
      </c>
      <c r="H8" s="19" t="s">
        <v>231</v>
      </c>
      <c r="I8" s="19"/>
      <c r="K8" s="14" t="s">
        <v>230</v>
      </c>
      <c r="L8" s="25">
        <f>SUM(L4:L6)</f>
        <v>368291.20397493959</v>
      </c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415281.20878970006</v>
      </c>
      <c r="K10" s="19"/>
      <c r="L10" s="19" t="s">
        <v>234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 t="s">
        <v>227</v>
      </c>
      <c r="L11" s="61">
        <f>DATA!G18-SUM(DATA!G3:G14)</f>
        <v>141081.60000000003</v>
      </c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  <c r="K12" s="1" t="s">
        <v>194</v>
      </c>
      <c r="L12" s="61">
        <f>'11'!L12-L5</f>
        <v>150444</v>
      </c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" t="s">
        <v>260</v>
      </c>
      <c r="L13" s="1">
        <f>'11'!L13-L6</f>
        <v>4797381.7073233696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DATA!C71</f>
        <v>1150</v>
      </c>
      <c r="C15" s="1">
        <f>B15*C9</f>
        <v>13800</v>
      </c>
      <c r="H15" s="19" t="s">
        <v>244</v>
      </c>
      <c r="I15" s="19"/>
      <c r="K15" s="14" t="s">
        <v>242</v>
      </c>
      <c r="L15" s="25">
        <f>SUM(L11:L13)</f>
        <v>5088907.3073233692</v>
      </c>
    </row>
    <row r="16" spans="1:12" ht="14.25" customHeight="1" x14ac:dyDescent="0.2">
      <c r="A16" s="1" t="s">
        <v>227</v>
      </c>
      <c r="B16" s="1">
        <f>C16/C9</f>
        <v>3347.2000000000003</v>
      </c>
      <c r="C16" s="88">
        <f t="shared" ref="C16:C18" si="1">L4</f>
        <v>40166.400000000001</v>
      </c>
    </row>
    <row r="17" spans="1:12" ht="14.25" customHeight="1" x14ac:dyDescent="0.2">
      <c r="A17" s="1" t="s">
        <v>194</v>
      </c>
      <c r="B17" s="1">
        <f>C17/12</f>
        <v>12537</v>
      </c>
      <c r="C17" s="88">
        <f t="shared" si="1"/>
        <v>150444</v>
      </c>
      <c r="H17" s="19"/>
      <c r="I17" s="19" t="s">
        <v>245</v>
      </c>
    </row>
    <row r="18" spans="1:12" ht="14.25" customHeight="1" x14ac:dyDescent="0.2">
      <c r="A18" s="1" t="s">
        <v>260</v>
      </c>
      <c r="B18" s="1">
        <f>C18/C9</f>
        <v>14806.7336645783</v>
      </c>
      <c r="C18" s="1">
        <f t="shared" si="1"/>
        <v>177680.8039749396</v>
      </c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2">B19*$C$9</f>
        <v>24000</v>
      </c>
    </row>
    <row r="20" spans="1:12" ht="14.25" customHeight="1" x14ac:dyDescent="0.2">
      <c r="A20" s="1" t="s">
        <v>248</v>
      </c>
      <c r="B20" s="1">
        <v>1000</v>
      </c>
      <c r="C20" s="1">
        <f t="shared" si="2"/>
        <v>12000</v>
      </c>
      <c r="E20" s="80" t="s">
        <v>33</v>
      </c>
      <c r="F20" s="11">
        <f>I31-L21</f>
        <v>2579900.6763167996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3">B21*C8</f>
        <v>0</v>
      </c>
      <c r="H21" s="89" t="str">
        <f>A30</f>
        <v>สินทรัพย์สภาพคล่อง</v>
      </c>
      <c r="I21" s="90">
        <f>(SUM(I4:I5)+SUM(I8:I9)+SUM(I12:I15)+SUM(I18))-G39</f>
        <v>454810.34468979132</v>
      </c>
      <c r="K21" s="41" t="s">
        <v>94</v>
      </c>
      <c r="L21" s="90">
        <f>L8+L15</f>
        <v>5457198.5112983091</v>
      </c>
    </row>
    <row r="22" spans="1:12" ht="14.25" customHeight="1" x14ac:dyDescent="0.2">
      <c r="A22" s="1" t="s">
        <v>250</v>
      </c>
      <c r="B22" s="1">
        <v>550</v>
      </c>
      <c r="C22" s="1">
        <f t="shared" si="3"/>
        <v>6600</v>
      </c>
    </row>
    <row r="23" spans="1:12" ht="14.25" customHeight="1" x14ac:dyDescent="0.2">
      <c r="A23" s="1" t="s">
        <v>259</v>
      </c>
      <c r="B23" s="1">
        <v>15000</v>
      </c>
      <c r="C23" s="1">
        <f>B23*C9</f>
        <v>180000</v>
      </c>
      <c r="I23" s="11"/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128346.35470461322</v>
      </c>
      <c r="F25" s="80"/>
    </row>
    <row r="26" spans="1:12" ht="14.25" customHeight="1" x14ac:dyDescent="0.2">
      <c r="B26" s="19" t="s">
        <v>252</v>
      </c>
      <c r="C26" s="37">
        <f>SUM(C10:C25)</f>
        <v>958115.55867955287</v>
      </c>
    </row>
    <row r="27" spans="1:12" ht="14.25" customHeight="1" x14ac:dyDescent="0.2">
      <c r="B27" s="19" t="s">
        <v>64</v>
      </c>
      <c r="C27" s="37">
        <f>C26/C9</f>
        <v>79842.963223296072</v>
      </c>
      <c r="G27" s="98">
        <v>0.4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454810.34468979132</v>
      </c>
      <c r="E29" s="1">
        <v>2</v>
      </c>
      <c r="F29" s="1" t="s">
        <v>214</v>
      </c>
      <c r="G29" s="1">
        <f>DATA!B161</f>
        <v>69614.743247883584</v>
      </c>
      <c r="I29" s="88">
        <f>DATA!C90</f>
        <v>1094000</v>
      </c>
    </row>
    <row r="30" spans="1:12" ht="14.25" customHeight="1" x14ac:dyDescent="0.2">
      <c r="A30" s="80" t="s">
        <v>4</v>
      </c>
      <c r="B30" s="80">
        <f>I21</f>
        <v>454810.34468979132</v>
      </c>
      <c r="C30" s="80"/>
      <c r="E30" s="1">
        <v>3</v>
      </c>
      <c r="F30" s="1" t="s">
        <v>214</v>
      </c>
      <c r="G30" s="1">
        <f>DATA!C161</f>
        <v>64271.026694254491</v>
      </c>
      <c r="I30" s="1">
        <f>DATA!F103</f>
        <v>5330424.1192481881</v>
      </c>
    </row>
    <row r="31" spans="1:12" ht="14.25" customHeight="1" x14ac:dyDescent="0.2">
      <c r="A31" s="80" t="s">
        <v>32</v>
      </c>
      <c r="B31" s="80">
        <f>L8</f>
        <v>368291.20397493959</v>
      </c>
      <c r="C31" s="80"/>
      <c r="E31" s="1">
        <v>4</v>
      </c>
      <c r="F31" s="1" t="s">
        <v>214</v>
      </c>
      <c r="G31" s="1">
        <f>DATA!D161</f>
        <v>119970.78675486502</v>
      </c>
      <c r="I31" s="11">
        <f>I21+G43+I29+I30</f>
        <v>8037099.1876151087</v>
      </c>
    </row>
    <row r="32" spans="1:12" ht="14.25" customHeight="1" x14ac:dyDescent="0.2">
      <c r="A32" s="80"/>
      <c r="B32" s="94">
        <f>B30/B31</f>
        <v>1.2349204645157339</v>
      </c>
      <c r="C32" s="80" t="s">
        <v>38</v>
      </c>
      <c r="E32" s="1">
        <v>5</v>
      </c>
      <c r="F32" s="1" t="s">
        <v>214</v>
      </c>
      <c r="G32" s="1">
        <f>DATA!E161</f>
        <v>120765.52473331649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DATA!F161</f>
        <v>149243.21722932538</v>
      </c>
    </row>
    <row r="34" spans="1:7" ht="14.25" customHeight="1" x14ac:dyDescent="0.2">
      <c r="A34" s="80"/>
      <c r="B34" s="80" t="s">
        <v>48</v>
      </c>
      <c r="C34" s="80"/>
      <c r="E34" s="1">
        <v>7</v>
      </c>
      <c r="F34" s="1" t="s">
        <v>213</v>
      </c>
      <c r="G34" s="1">
        <f>DATA!G161</f>
        <v>93469.046633915816</v>
      </c>
    </row>
    <row r="35" spans="1:7" ht="14.25" customHeight="1" x14ac:dyDescent="0.2">
      <c r="A35" s="80"/>
      <c r="B35" s="80" t="s">
        <v>54</v>
      </c>
      <c r="C35" s="80"/>
      <c r="E35" s="1">
        <v>8</v>
      </c>
      <c r="F35" s="1" t="s">
        <v>213</v>
      </c>
      <c r="G35" s="1">
        <f>DATA!H161</f>
        <v>118569.50675871842</v>
      </c>
    </row>
    <row r="36" spans="1:7" ht="14.25" customHeight="1" x14ac:dyDescent="0.2">
      <c r="A36" s="80" t="s">
        <v>4</v>
      </c>
      <c r="B36" s="80">
        <f>B30</f>
        <v>454810.34468979132</v>
      </c>
      <c r="C36" s="80"/>
      <c r="E36" s="1">
        <v>9</v>
      </c>
      <c r="F36" s="1" t="s">
        <v>213</v>
      </c>
      <c r="G36" s="1">
        <f>DATA!I161</f>
        <v>123830.68312133767</v>
      </c>
    </row>
    <row r="37" spans="1:7" ht="14.25" customHeight="1" x14ac:dyDescent="0.2">
      <c r="A37" s="80" t="s">
        <v>60</v>
      </c>
      <c r="B37" s="80">
        <f>C27</f>
        <v>79842.963223296072</v>
      </c>
      <c r="C37" s="80"/>
      <c r="E37" s="1">
        <v>10</v>
      </c>
      <c r="F37" s="1" t="s">
        <v>211</v>
      </c>
      <c r="G37" s="1">
        <f>DATA!J161</f>
        <v>46598.704288882051</v>
      </c>
    </row>
    <row r="38" spans="1:7" ht="14.25" customHeight="1" x14ac:dyDescent="0.2">
      <c r="A38" s="80"/>
      <c r="B38" s="94">
        <f>B36/B37</f>
        <v>5.6963109374814591</v>
      </c>
      <c r="C38" s="80" t="s">
        <v>38</v>
      </c>
      <c r="E38" s="1">
        <v>11</v>
      </c>
      <c r="F38" s="1" t="s">
        <v>211</v>
      </c>
      <c r="G38" s="1">
        <f>DATA!K161</f>
        <v>95989.795104306148</v>
      </c>
    </row>
    <row r="39" spans="1:7" ht="14.25" customHeight="1" x14ac:dyDescent="0.2">
      <c r="E39" s="1">
        <v>12</v>
      </c>
      <c r="F39" s="1" t="s">
        <v>211</v>
      </c>
      <c r="G39" s="1">
        <f>DATA!L161</f>
        <v>155541.68911032405</v>
      </c>
    </row>
    <row r="40" spans="1:7" ht="14.25" customHeight="1" x14ac:dyDescent="0.2">
      <c r="A40" s="80"/>
      <c r="B40" s="80" t="s">
        <v>68</v>
      </c>
      <c r="E40" s="1">
        <v>13</v>
      </c>
    </row>
    <row r="41" spans="1:7" ht="14.25" customHeight="1" x14ac:dyDescent="0.2">
      <c r="A41" s="80"/>
      <c r="B41" s="80" t="s">
        <v>71</v>
      </c>
      <c r="E41" s="1">
        <v>14</v>
      </c>
    </row>
    <row r="42" spans="1:7" ht="14.25" customHeight="1" x14ac:dyDescent="0.2">
      <c r="A42" s="80" t="s">
        <v>4</v>
      </c>
      <c r="B42" s="80">
        <f>B30</f>
        <v>454810.34468979132</v>
      </c>
      <c r="E42" s="1">
        <v>15</v>
      </c>
    </row>
    <row r="43" spans="1:7" ht="14.25" customHeight="1" x14ac:dyDescent="0.2">
      <c r="A43" s="80" t="s">
        <v>33</v>
      </c>
      <c r="B43" s="80">
        <f>F20</f>
        <v>2579900.6763167996</v>
      </c>
      <c r="G43" s="1">
        <f>SUM(G29:G42)</f>
        <v>1157864.7236771293</v>
      </c>
    </row>
    <row r="44" spans="1:7" ht="14.25" customHeight="1" x14ac:dyDescent="0.2">
      <c r="A44" s="80"/>
      <c r="B44" s="77">
        <f>B42/B43</f>
        <v>0.17628986606534877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5457198.5112983091</v>
      </c>
      <c r="C48" s="80"/>
    </row>
    <row r="49" spans="1:6" ht="14.25" customHeight="1" x14ac:dyDescent="0.2">
      <c r="A49" s="80" t="s">
        <v>39</v>
      </c>
      <c r="B49" s="80">
        <f>I31</f>
        <v>8037099.1876151087</v>
      </c>
      <c r="C49" s="80"/>
    </row>
    <row r="50" spans="1:6" ht="14.25" customHeight="1" x14ac:dyDescent="0.2">
      <c r="A50" s="80"/>
      <c r="B50" s="77">
        <f>B48/B49</f>
        <v>0.67900101565346649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2579900.6763167996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8037099.1876151087</v>
      </c>
      <c r="C55" s="80"/>
    </row>
    <row r="56" spans="1:6" ht="14.25" customHeight="1" x14ac:dyDescent="0.2">
      <c r="A56" s="80"/>
      <c r="B56" s="77">
        <f>B54/B55</f>
        <v>0.32099898434653351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L8</f>
        <v>368291.20397493959</v>
      </c>
    </row>
    <row r="61" spans="1:6" ht="14.25" customHeight="1" x14ac:dyDescent="0.2">
      <c r="A61" s="80" t="s">
        <v>107</v>
      </c>
      <c r="B61" s="80">
        <f>E2</f>
        <v>1373396.7674692529</v>
      </c>
      <c r="F61" s="80"/>
    </row>
    <row r="62" spans="1:6" ht="14.25" customHeight="1" x14ac:dyDescent="0.2">
      <c r="A62" s="80"/>
      <c r="B62" s="32">
        <f>B60/B61</f>
        <v>0.26816082045510187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4">B60/12</f>
        <v>30690.933664578301</v>
      </c>
    </row>
    <row r="67" spans="1:6" ht="14.25" customHeight="1" x14ac:dyDescent="0.2">
      <c r="A67" s="80" t="s">
        <v>258</v>
      </c>
      <c r="B67" s="80">
        <f t="shared" si="4"/>
        <v>114449.73062243774</v>
      </c>
    </row>
    <row r="68" spans="1:6" ht="14.25" customHeight="1" x14ac:dyDescent="0.2">
      <c r="A68" s="80"/>
      <c r="B68" s="32">
        <f>B66/B67</f>
        <v>0.26816082045510187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454810.34468979132</v>
      </c>
    </row>
    <row r="73" spans="1:6" ht="14.25" customHeight="1" x14ac:dyDescent="0.2">
      <c r="A73" s="80" t="s">
        <v>138</v>
      </c>
      <c r="B73" s="80">
        <f>E2</f>
        <v>1373396.7674692529</v>
      </c>
    </row>
    <row r="74" spans="1:6" ht="14.25" customHeight="1" x14ac:dyDescent="0.2">
      <c r="A74" s="80"/>
      <c r="B74" s="77">
        <f>B72/B73</f>
        <v>0.33115728496133467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G43</f>
        <v>1157864.7236771293</v>
      </c>
      <c r="C78" s="80"/>
    </row>
    <row r="79" spans="1:6" ht="14.25" customHeight="1" x14ac:dyDescent="0.2">
      <c r="A79" s="80" t="s">
        <v>33</v>
      </c>
      <c r="B79" s="80">
        <f>B43</f>
        <v>2579900.6763167996</v>
      </c>
      <c r="C79" s="80"/>
    </row>
    <row r="80" spans="1:6" ht="14.25" customHeight="1" x14ac:dyDescent="0.2">
      <c r="A80" s="80"/>
      <c r="B80" s="77">
        <f>B78/B79</f>
        <v>0.44880205439930237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A91-B108</f>
        <v>1053385.4188184529</v>
      </c>
    </row>
    <row r="91" spans="1:5" ht="14.25" customHeight="1" x14ac:dyDescent="0.2">
      <c r="A91" s="96">
        <f>E2</f>
        <v>1373396.7674692529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5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5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200000</v>
      </c>
      <c r="D95" s="24">
        <v>0.1</v>
      </c>
      <c r="E95" s="25">
        <f t="shared" si="5"/>
        <v>20000</v>
      </c>
    </row>
    <row r="96" spans="1:5" ht="14.25" customHeight="1" x14ac:dyDescent="0.2">
      <c r="B96" s="22" t="s">
        <v>52</v>
      </c>
      <c r="C96" s="23">
        <f>IF((A90-C93-C94-C95)&gt;=250000,250000,(A90-C93-C94-C95))</f>
        <v>250000</v>
      </c>
      <c r="D96" s="24">
        <v>0.15</v>
      </c>
      <c r="E96" s="25">
        <f t="shared" si="5"/>
        <v>37500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250000</v>
      </c>
      <c r="D97" s="24">
        <v>0.2</v>
      </c>
      <c r="E97" s="25">
        <f t="shared" si="5"/>
        <v>50000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53385.418818452861</v>
      </c>
      <c r="D98" s="24">
        <v>0.25</v>
      </c>
      <c r="E98" s="25">
        <f t="shared" si="5"/>
        <v>13346.354704613215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5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5"/>
        <v>0</v>
      </c>
    </row>
    <row r="101" spans="1:5" ht="14.25" customHeight="1" x14ac:dyDescent="0.35">
      <c r="E101" s="97">
        <f>SUM(E93:E100)</f>
        <v>128346.35470461322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A107" s="19" t="s">
        <v>211</v>
      </c>
      <c r="B107" s="19">
        <f>DATA!E143</f>
        <v>151011.34865080004</v>
      </c>
    </row>
    <row r="108" spans="1:5" ht="14.25" customHeight="1" x14ac:dyDescent="0.2">
      <c r="B108" s="45">
        <f>SUM(B104:B107)</f>
        <v>320011.34865080006</v>
      </c>
    </row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75" priority="1" operator="greaterThan">
      <formula>0.9999999999</formula>
    </cfRule>
    <cfRule type="cellIs" dxfId="74" priority="2" operator="lessThan">
      <formula>1</formula>
    </cfRule>
  </conditionalFormatting>
  <conditionalFormatting sqref="B38">
    <cfRule type="cellIs" dxfId="73" priority="3" operator="greaterThan">
      <formula>5.9999</formula>
    </cfRule>
    <cfRule type="cellIs" dxfId="72" priority="4" operator="lessThan">
      <formula>3</formula>
    </cfRule>
  </conditionalFormatting>
  <conditionalFormatting sqref="B44">
    <cfRule type="cellIs" dxfId="71" priority="5" operator="greaterThan">
      <formula>0.29</formula>
    </cfRule>
    <cfRule type="cellIs" dxfId="70" priority="6" operator="lessThan">
      <formula>0.05</formula>
    </cfRule>
    <cfRule type="cellIs" dxfId="69" priority="7" operator="greaterThan">
      <formula>0.049</formula>
    </cfRule>
  </conditionalFormatting>
  <conditionalFormatting sqref="B50">
    <cfRule type="cellIs" dxfId="68" priority="8" operator="greaterThan">
      <formula>0.49</formula>
    </cfRule>
    <cfRule type="cellIs" dxfId="67" priority="9" operator="lessThan">
      <formula>0.41</formula>
    </cfRule>
  </conditionalFormatting>
  <conditionalFormatting sqref="B56">
    <cfRule type="cellIs" dxfId="66" priority="10" operator="lessThan">
      <formula>0.41</formula>
    </cfRule>
    <cfRule type="cellIs" dxfId="65" priority="11" operator="greaterThan">
      <formula>0.59</formula>
    </cfRule>
  </conditionalFormatting>
  <conditionalFormatting sqref="B62">
    <cfRule type="cellIs" dxfId="64" priority="12" operator="greaterThan">
      <formula>0.39</formula>
    </cfRule>
    <cfRule type="cellIs" dxfId="63" priority="13" operator="lessThan">
      <formula>0.281</formula>
    </cfRule>
  </conditionalFormatting>
  <conditionalFormatting sqref="B68">
    <cfRule type="cellIs" dxfId="62" priority="14" operator="greaterThan">
      <formula>0.39</formula>
    </cfRule>
    <cfRule type="cellIs" dxfId="61" priority="15" operator="lessThan">
      <formula>0.281</formula>
    </cfRule>
  </conditionalFormatting>
  <conditionalFormatting sqref="B74">
    <cfRule type="cellIs" dxfId="60" priority="16" operator="lessThan">
      <formula>0.1</formula>
    </cfRule>
    <cfRule type="cellIs" dxfId="59" priority="17" operator="greaterThan">
      <formula>0.19</formula>
    </cfRule>
  </conditionalFormatting>
  <conditionalFormatting sqref="B80">
    <cfRule type="cellIs" dxfId="58" priority="18" operator="lessThan">
      <formula>0.3</formula>
    </cfRule>
    <cfRule type="cellIs" dxfId="57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375" customWidth="1"/>
    <col min="3" max="3" width="13.625" customWidth="1"/>
    <col min="4" max="4" width="19" customWidth="1"/>
    <col min="5" max="5" width="19.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23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DATA!B43</f>
        <v>13</v>
      </c>
      <c r="B2" s="88">
        <f>DATA!E43</f>
        <v>55671.546106686023</v>
      </c>
      <c r="C2" s="88">
        <f>DATA!F43</f>
        <v>668058.55328023224</v>
      </c>
      <c r="D2" s="99">
        <f>DATA!G43</f>
        <v>1032010.7367499778</v>
      </c>
      <c r="E2" s="88">
        <f>DATA!H43</f>
        <v>1700069.29003021</v>
      </c>
      <c r="F2" s="88">
        <f>DATA!I43</f>
        <v>141672.44083585084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'12'!I21+F10</f>
        <v>1043394.7845922811</v>
      </c>
      <c r="K4" s="19" t="s">
        <v>227</v>
      </c>
      <c r="L4" s="61">
        <f>DATA!G15</f>
        <v>43622.400000000001</v>
      </c>
    </row>
    <row r="5" spans="1:12" ht="14.25" customHeight="1" x14ac:dyDescent="0.2">
      <c r="H5" s="19" t="s">
        <v>228</v>
      </c>
      <c r="I5" s="19" t="s">
        <v>157</v>
      </c>
      <c r="K5" s="1" t="s">
        <v>194</v>
      </c>
      <c r="L5" s="61">
        <f>DATA!C96</f>
        <v>150444</v>
      </c>
    </row>
    <row r="6" spans="1:12" ht="14.25" customHeight="1" x14ac:dyDescent="0.2">
      <c r="K6" s="1" t="s">
        <v>260</v>
      </c>
      <c r="L6" s="1">
        <f>DATA!F96</f>
        <v>177680.8039749396</v>
      </c>
    </row>
    <row r="7" spans="1:12" ht="14.25" customHeight="1" x14ac:dyDescent="0.2">
      <c r="H7" s="19"/>
      <c r="I7" s="19" t="s">
        <v>229</v>
      </c>
    </row>
    <row r="8" spans="1:12" ht="14.25" customHeight="1" x14ac:dyDescent="0.2">
      <c r="C8" s="39">
        <v>10</v>
      </c>
      <c r="H8" s="19" t="s">
        <v>231</v>
      </c>
      <c r="I8" s="19"/>
      <c r="K8" s="14" t="s">
        <v>230</v>
      </c>
      <c r="L8" s="25">
        <f>SUM(L4:L6)</f>
        <v>371747.20397493959</v>
      </c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588584.43990248977</v>
      </c>
      <c r="K10" s="19"/>
      <c r="L10" s="19" t="s">
        <v>234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 t="s">
        <v>227</v>
      </c>
      <c r="L11" s="61">
        <f>DATA!G18-SUM(DATA!G3:G15)</f>
        <v>97459.200000000012</v>
      </c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  <c r="K12" s="1" t="s">
        <v>194</v>
      </c>
      <c r="L12" s="19">
        <v>0</v>
      </c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" t="s">
        <v>260</v>
      </c>
      <c r="L13" s="1">
        <f>'12'!L13-L6</f>
        <v>4619700.9033484301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DATA!C71</f>
        <v>1150</v>
      </c>
      <c r="C15" s="1">
        <f>B15*C9</f>
        <v>13800</v>
      </c>
      <c r="H15" s="19" t="s">
        <v>244</v>
      </c>
      <c r="I15" s="19"/>
      <c r="K15" s="14" t="s">
        <v>242</v>
      </c>
      <c r="L15" s="25">
        <f>SUM(L11:L13)</f>
        <v>4717160.1033484302</v>
      </c>
    </row>
    <row r="16" spans="1:12" ht="14.25" customHeight="1" x14ac:dyDescent="0.2">
      <c r="A16" s="1" t="s">
        <v>227</v>
      </c>
      <c r="B16" s="1">
        <f>C16/C9</f>
        <v>3635.2000000000003</v>
      </c>
      <c r="C16" s="88">
        <f t="shared" ref="C16:C18" si="1">L4</f>
        <v>43622.400000000001</v>
      </c>
    </row>
    <row r="17" spans="1:12" ht="14.25" customHeight="1" x14ac:dyDescent="0.2">
      <c r="A17" s="1" t="s">
        <v>194</v>
      </c>
      <c r="B17" s="1">
        <f>C17/12</f>
        <v>12537</v>
      </c>
      <c r="C17" s="88">
        <f t="shared" si="1"/>
        <v>150444</v>
      </c>
      <c r="H17" s="19"/>
      <c r="I17" s="19" t="s">
        <v>245</v>
      </c>
    </row>
    <row r="18" spans="1:12" ht="14.25" customHeight="1" x14ac:dyDescent="0.2">
      <c r="A18" s="1" t="s">
        <v>260</v>
      </c>
      <c r="B18" s="1">
        <f>C18/C9</f>
        <v>14806.7336645783</v>
      </c>
      <c r="C18" s="1">
        <f t="shared" si="1"/>
        <v>177680.8039749396</v>
      </c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2">B19*$C$9</f>
        <v>24000</v>
      </c>
    </row>
    <row r="20" spans="1:12" ht="14.25" customHeight="1" x14ac:dyDescent="0.2">
      <c r="A20" s="1" t="s">
        <v>248</v>
      </c>
      <c r="B20" s="1">
        <v>3000</v>
      </c>
      <c r="C20" s="1">
        <f t="shared" si="2"/>
        <v>36000</v>
      </c>
      <c r="E20" s="80" t="s">
        <v>33</v>
      </c>
      <c r="F20" s="11">
        <f>I31-L21</f>
        <v>3595825.9270884059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3">B21*C8</f>
        <v>0</v>
      </c>
      <c r="H21" s="89" t="str">
        <f>A30</f>
        <v>สินทรัพย์สภาพคล่อง</v>
      </c>
      <c r="I21" s="90">
        <f>(SUM(I4:I5)+SUM(I8:I9)+SUM(I12:I15)+SUM(I18))-G40</f>
        <v>822873.00448352587</v>
      </c>
      <c r="K21" s="41" t="s">
        <v>94</v>
      </c>
      <c r="L21" s="90">
        <f>L8+L15</f>
        <v>5088907.3073233701</v>
      </c>
    </row>
    <row r="22" spans="1:12" ht="14.25" customHeight="1" x14ac:dyDescent="0.2">
      <c r="A22" s="1" t="s">
        <v>250</v>
      </c>
      <c r="B22" s="1">
        <v>550</v>
      </c>
      <c r="C22" s="1">
        <f t="shared" si="3"/>
        <v>6600</v>
      </c>
    </row>
    <row r="23" spans="1:12" ht="14.25" customHeight="1" x14ac:dyDescent="0.2">
      <c r="A23" s="1" t="s">
        <v>259</v>
      </c>
      <c r="B23" s="1">
        <v>20000</v>
      </c>
      <c r="C23" s="1">
        <f>B23*C9</f>
        <v>240000</v>
      </c>
      <c r="I23" s="11"/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194259.64615278074</v>
      </c>
      <c r="F25" s="80"/>
    </row>
    <row r="26" spans="1:12" ht="14.25" customHeight="1" x14ac:dyDescent="0.2">
      <c r="B26" s="19" t="s">
        <v>252</v>
      </c>
      <c r="C26" s="37">
        <f>SUM(C10:C25)</f>
        <v>1111484.8501277203</v>
      </c>
    </row>
    <row r="27" spans="1:12" ht="14.25" customHeight="1" x14ac:dyDescent="0.2">
      <c r="B27" s="19" t="s">
        <v>64</v>
      </c>
      <c r="C27" s="37">
        <f>C26/C9</f>
        <v>92623.737510643361</v>
      </c>
      <c r="G27" s="98">
        <v>0.4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822873.00448352587</v>
      </c>
      <c r="E29" s="1">
        <v>2</v>
      </c>
      <c r="F29" s="1" t="s">
        <v>214</v>
      </c>
      <c r="G29" s="1">
        <f>DATA!B162</f>
        <v>72051.259261559506</v>
      </c>
      <c r="I29" s="88">
        <f>DATA!C90</f>
        <v>1094000</v>
      </c>
    </row>
    <row r="30" spans="1:12" ht="14.25" customHeight="1" x14ac:dyDescent="0.2">
      <c r="A30" s="80" t="s">
        <v>4</v>
      </c>
      <c r="B30" s="80">
        <f>I21</f>
        <v>822873.00448352587</v>
      </c>
      <c r="C30" s="80"/>
      <c r="E30" s="1">
        <v>3</v>
      </c>
      <c r="F30" s="1" t="s">
        <v>214</v>
      </c>
      <c r="G30" s="1">
        <f>DATA!C162</f>
        <v>66520.512628553406</v>
      </c>
      <c r="I30" s="1">
        <f>DATA!F103</f>
        <v>5330424.1192481881</v>
      </c>
    </row>
    <row r="31" spans="1:12" ht="14.25" customHeight="1" x14ac:dyDescent="0.2">
      <c r="A31" s="80" t="s">
        <v>32</v>
      </c>
      <c r="B31" s="80">
        <f>L8</f>
        <v>371747.20397493959</v>
      </c>
      <c r="C31" s="80"/>
      <c r="E31" s="1">
        <v>4</v>
      </c>
      <c r="F31" s="1" t="s">
        <v>214</v>
      </c>
      <c r="G31" s="1">
        <f>DATA!D162</f>
        <v>124169.7642912853</v>
      </c>
      <c r="I31" s="11">
        <f>I21+G43+I29+I30</f>
        <v>8684733.2344117761</v>
      </c>
    </row>
    <row r="32" spans="1:12" ht="14.25" customHeight="1" x14ac:dyDescent="0.2">
      <c r="A32" s="80"/>
      <c r="B32" s="94">
        <f>B30/B31</f>
        <v>2.213528429225248</v>
      </c>
      <c r="C32" s="80" t="s">
        <v>38</v>
      </c>
      <c r="E32" s="1">
        <v>5</v>
      </c>
      <c r="F32" s="1" t="s">
        <v>214</v>
      </c>
      <c r="G32" s="1">
        <f>DATA!E162</f>
        <v>124992.31809898255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DATA!F162</f>
        <v>154329.56814951025</v>
      </c>
    </row>
    <row r="34" spans="1:7" ht="14.25" customHeight="1" x14ac:dyDescent="0.2">
      <c r="A34" s="80"/>
      <c r="B34" s="80" t="s">
        <v>48</v>
      </c>
      <c r="C34" s="80"/>
      <c r="E34" s="1">
        <v>7</v>
      </c>
      <c r="F34" s="1" t="s">
        <v>213</v>
      </c>
      <c r="G34" s="1">
        <f>DATA!G162</f>
        <v>102348.60606413781</v>
      </c>
    </row>
    <row r="35" spans="1:7" ht="14.25" customHeight="1" x14ac:dyDescent="0.2">
      <c r="A35" s="80"/>
      <c r="B35" s="80" t="s">
        <v>54</v>
      </c>
      <c r="C35" s="80"/>
      <c r="E35" s="1">
        <v>8</v>
      </c>
      <c r="F35" s="1" t="s">
        <v>213</v>
      </c>
      <c r="G35" s="1">
        <f>DATA!H162</f>
        <v>129833.60990079667</v>
      </c>
    </row>
    <row r="36" spans="1:7" ht="14.25" customHeight="1" x14ac:dyDescent="0.2">
      <c r="A36" s="80" t="s">
        <v>4</v>
      </c>
      <c r="B36" s="80">
        <f>B30</f>
        <v>822873.00448352587</v>
      </c>
      <c r="C36" s="80"/>
      <c r="E36" s="1">
        <v>9</v>
      </c>
      <c r="F36" s="1" t="s">
        <v>213</v>
      </c>
      <c r="G36" s="1">
        <f>DATA!I162</f>
        <v>135594.59801786474</v>
      </c>
    </row>
    <row r="37" spans="1:7" ht="14.25" customHeight="1" x14ac:dyDescent="0.2">
      <c r="A37" s="80" t="s">
        <v>60</v>
      </c>
      <c r="B37" s="80">
        <f>C27</f>
        <v>92623.737510643361</v>
      </c>
      <c r="C37" s="80"/>
      <c r="E37" s="1">
        <v>10</v>
      </c>
      <c r="F37" s="1" t="s">
        <v>211</v>
      </c>
      <c r="G37" s="1">
        <f>DATA!J162</f>
        <v>47996.665417548509</v>
      </c>
    </row>
    <row r="38" spans="1:7" ht="14.25" customHeight="1" x14ac:dyDescent="0.2">
      <c r="A38" s="80"/>
      <c r="B38" s="94">
        <f>B36/B37</f>
        <v>8.8840401672300242</v>
      </c>
      <c r="C38" s="80" t="s">
        <v>38</v>
      </c>
      <c r="E38" s="1">
        <v>11</v>
      </c>
      <c r="F38" s="1" t="s">
        <v>211</v>
      </c>
      <c r="G38" s="1">
        <f>DATA!K162</f>
        <v>98869.488957435344</v>
      </c>
    </row>
    <row r="39" spans="1:7" ht="14.25" customHeight="1" x14ac:dyDescent="0.2">
      <c r="E39" s="1">
        <v>12</v>
      </c>
      <c r="F39" s="1" t="s">
        <v>211</v>
      </c>
      <c r="G39" s="1">
        <f>DATA!L162</f>
        <v>160207.93978363374</v>
      </c>
    </row>
    <row r="40" spans="1:7" ht="14.25" customHeight="1" x14ac:dyDescent="0.2">
      <c r="A40" s="80"/>
      <c r="B40" s="80" t="s">
        <v>68</v>
      </c>
      <c r="E40" s="1">
        <v>13</v>
      </c>
      <c r="F40" s="1" t="s">
        <v>217</v>
      </c>
      <c r="G40" s="1">
        <f>DATA!M162</f>
        <v>220521.78010875519</v>
      </c>
    </row>
    <row r="41" spans="1:7" ht="14.25" customHeight="1" x14ac:dyDescent="0.2">
      <c r="A41" s="80"/>
      <c r="B41" s="80" t="s">
        <v>71</v>
      </c>
      <c r="E41" s="1">
        <v>14</v>
      </c>
    </row>
    <row r="42" spans="1:7" ht="14.25" customHeight="1" x14ac:dyDescent="0.2">
      <c r="A42" s="80" t="s">
        <v>4</v>
      </c>
      <c r="B42" s="80">
        <f>B30</f>
        <v>822873.00448352587</v>
      </c>
      <c r="E42" s="1">
        <v>15</v>
      </c>
    </row>
    <row r="43" spans="1:7" ht="14.25" customHeight="1" x14ac:dyDescent="0.2">
      <c r="A43" s="80" t="s">
        <v>33</v>
      </c>
      <c r="B43" s="80">
        <f>F20</f>
        <v>3595825.9270884059</v>
      </c>
      <c r="G43" s="1">
        <f>SUM(G29:G42)</f>
        <v>1437436.110680063</v>
      </c>
    </row>
    <row r="44" spans="1:7" ht="14.25" customHeight="1" x14ac:dyDescent="0.2">
      <c r="A44" s="80"/>
      <c r="B44" s="77">
        <f>B42/B43</f>
        <v>0.22884116783423342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5088907.3073233701</v>
      </c>
      <c r="C48" s="80"/>
    </row>
    <row r="49" spans="1:6" ht="14.25" customHeight="1" x14ac:dyDescent="0.2">
      <c r="A49" s="80" t="s">
        <v>39</v>
      </c>
      <c r="B49" s="80">
        <f>I31</f>
        <v>8684733.2344117761</v>
      </c>
      <c r="C49" s="80"/>
    </row>
    <row r="50" spans="1:6" ht="14.25" customHeight="1" x14ac:dyDescent="0.2">
      <c r="A50" s="80"/>
      <c r="B50" s="77">
        <f>B48/B49</f>
        <v>0.58596011759571864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3595825.9270884059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8684733.2344117761</v>
      </c>
      <c r="C55" s="80"/>
    </row>
    <row r="56" spans="1:6" ht="14.25" customHeight="1" x14ac:dyDescent="0.2">
      <c r="A56" s="80"/>
      <c r="B56" s="77">
        <f>B54/B55</f>
        <v>0.41403988240428136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L8</f>
        <v>371747.20397493959</v>
      </c>
    </row>
    <row r="61" spans="1:6" ht="14.25" customHeight="1" x14ac:dyDescent="0.2">
      <c r="A61" s="80" t="s">
        <v>107</v>
      </c>
      <c r="B61" s="80">
        <f>E2</f>
        <v>1700069.29003021</v>
      </c>
      <c r="F61" s="80"/>
    </row>
    <row r="62" spans="1:6" ht="14.25" customHeight="1" x14ac:dyDescent="0.2">
      <c r="A62" s="80"/>
      <c r="B62" s="32">
        <f>B60/B61</f>
        <v>0.21866591329835366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4">B60/12</f>
        <v>30978.933664578301</v>
      </c>
    </row>
    <row r="67" spans="1:6" ht="14.25" customHeight="1" x14ac:dyDescent="0.2">
      <c r="A67" s="80" t="s">
        <v>258</v>
      </c>
      <c r="B67" s="80">
        <f t="shared" si="4"/>
        <v>141672.44083585084</v>
      </c>
    </row>
    <row r="68" spans="1:6" ht="14.25" customHeight="1" x14ac:dyDescent="0.2">
      <c r="A68" s="80"/>
      <c r="B68" s="32">
        <f>B66/B67</f>
        <v>0.21866591329835369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822873.00448352587</v>
      </c>
    </row>
    <row r="73" spans="1:6" ht="14.25" customHeight="1" x14ac:dyDescent="0.2">
      <c r="A73" s="80" t="s">
        <v>138</v>
      </c>
      <c r="B73" s="80">
        <f>E2</f>
        <v>1700069.29003021</v>
      </c>
    </row>
    <row r="74" spans="1:6" ht="14.25" customHeight="1" x14ac:dyDescent="0.2">
      <c r="A74" s="80"/>
      <c r="B74" s="77">
        <f>B72/B73</f>
        <v>0.48402321558840905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G43</f>
        <v>1437436.110680063</v>
      </c>
      <c r="C78" s="80"/>
    </row>
    <row r="79" spans="1:6" ht="14.25" customHeight="1" x14ac:dyDescent="0.2">
      <c r="A79" s="80" t="s">
        <v>33</v>
      </c>
      <c r="B79" s="80">
        <f>B43</f>
        <v>3595825.9270884059</v>
      </c>
      <c r="C79" s="80"/>
    </row>
    <row r="80" spans="1:6" ht="14.25" customHeight="1" x14ac:dyDescent="0.2">
      <c r="A80" s="80"/>
      <c r="B80" s="77">
        <f>B78/B79</f>
        <v>0.39975130604944953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A91-B109</f>
        <v>1317038.584611123</v>
      </c>
    </row>
    <row r="91" spans="1:5" ht="14.25" customHeight="1" x14ac:dyDescent="0.2">
      <c r="A91" s="96">
        <f>E2</f>
        <v>1700069.29003021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5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5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200000</v>
      </c>
      <c r="D95" s="24">
        <v>0.1</v>
      </c>
      <c r="E95" s="25">
        <f t="shared" si="5"/>
        <v>20000</v>
      </c>
    </row>
    <row r="96" spans="1:5" ht="14.25" customHeight="1" x14ac:dyDescent="0.2">
      <c r="B96" s="22" t="s">
        <v>52</v>
      </c>
      <c r="C96" s="23">
        <f>IF((A90-C93-C94-C95)&gt;=250000,250000,(A90-C93-C94-C95))</f>
        <v>250000</v>
      </c>
      <c r="D96" s="24">
        <v>0.15</v>
      </c>
      <c r="E96" s="25">
        <f t="shared" si="5"/>
        <v>37500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250000</v>
      </c>
      <c r="D97" s="24">
        <v>0.2</v>
      </c>
      <c r="E97" s="25">
        <f t="shared" si="5"/>
        <v>50000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317038.58461112296</v>
      </c>
      <c r="D98" s="24">
        <v>0.25</v>
      </c>
      <c r="E98" s="25">
        <f t="shared" si="5"/>
        <v>79259.646152780741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5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5"/>
        <v>0</v>
      </c>
    </row>
    <row r="101" spans="1:5" ht="14.25" customHeight="1" x14ac:dyDescent="0.35">
      <c r="E101" s="97">
        <f>SUM(E93:E100)</f>
        <v>194259.64615278074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A107" s="19" t="s">
        <v>211</v>
      </c>
      <c r="B107" s="19">
        <f>DATA!E144</f>
        <v>200000</v>
      </c>
    </row>
    <row r="108" spans="1:5" ht="14.25" customHeight="1" x14ac:dyDescent="0.2">
      <c r="A108" s="19" t="s">
        <v>212</v>
      </c>
      <c r="B108" s="19">
        <f>DATA!F144</f>
        <v>14030.705419087142</v>
      </c>
    </row>
    <row r="109" spans="1:5" ht="14.25" customHeight="1" x14ac:dyDescent="0.2">
      <c r="B109" s="45">
        <f>SUM(B104:B108)</f>
        <v>383030.70541908714</v>
      </c>
    </row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56" priority="1" operator="greaterThan">
      <formula>0.9999999999</formula>
    </cfRule>
    <cfRule type="cellIs" dxfId="55" priority="2" operator="lessThan">
      <formula>1</formula>
    </cfRule>
  </conditionalFormatting>
  <conditionalFormatting sqref="B38">
    <cfRule type="cellIs" dxfId="54" priority="3" operator="greaterThan">
      <formula>5.9999</formula>
    </cfRule>
    <cfRule type="cellIs" dxfId="53" priority="4" operator="lessThan">
      <formula>3</formula>
    </cfRule>
  </conditionalFormatting>
  <conditionalFormatting sqref="B44">
    <cfRule type="cellIs" dxfId="52" priority="5" operator="greaterThan">
      <formula>0.29</formula>
    </cfRule>
    <cfRule type="cellIs" dxfId="51" priority="6" operator="lessThan">
      <formula>0.05</formula>
    </cfRule>
    <cfRule type="cellIs" dxfId="50" priority="7" operator="greaterThan">
      <formula>0.049</formula>
    </cfRule>
  </conditionalFormatting>
  <conditionalFormatting sqref="B50">
    <cfRule type="cellIs" dxfId="49" priority="8" operator="greaterThan">
      <formula>0.49</formula>
    </cfRule>
    <cfRule type="cellIs" dxfId="48" priority="9" operator="lessThan">
      <formula>0.41</formula>
    </cfRule>
  </conditionalFormatting>
  <conditionalFormatting sqref="B56">
    <cfRule type="cellIs" dxfId="47" priority="10" operator="lessThan">
      <formula>0.41</formula>
    </cfRule>
    <cfRule type="cellIs" dxfId="46" priority="11" operator="greaterThan">
      <formula>0.59</formula>
    </cfRule>
  </conditionalFormatting>
  <conditionalFormatting sqref="B62">
    <cfRule type="cellIs" dxfId="45" priority="12" operator="greaterThan">
      <formula>0.39</formula>
    </cfRule>
    <cfRule type="cellIs" dxfId="44" priority="13" operator="lessThan">
      <formula>0.281</formula>
    </cfRule>
  </conditionalFormatting>
  <conditionalFormatting sqref="B68">
    <cfRule type="cellIs" dxfId="43" priority="14" operator="greaterThan">
      <formula>0.39</formula>
    </cfRule>
    <cfRule type="cellIs" dxfId="42" priority="15" operator="lessThan">
      <formula>0.281</formula>
    </cfRule>
  </conditionalFormatting>
  <conditionalFormatting sqref="B74">
    <cfRule type="cellIs" dxfId="41" priority="16" operator="lessThan">
      <formula>0.1</formula>
    </cfRule>
    <cfRule type="cellIs" dxfId="40" priority="17" operator="greaterThan">
      <formula>0.19</formula>
    </cfRule>
  </conditionalFormatting>
  <conditionalFormatting sqref="B80">
    <cfRule type="cellIs" dxfId="39" priority="18" operator="lessThan">
      <formula>0.3</formula>
    </cfRule>
    <cfRule type="cellIs" dxfId="38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375" customWidth="1"/>
    <col min="3" max="3" width="13.625" customWidth="1"/>
    <col min="4" max="4" width="19" customWidth="1"/>
    <col min="5" max="5" width="19.75" customWidth="1"/>
    <col min="6" max="6" width="18.375" customWidth="1"/>
    <col min="7" max="7" width="8.75" customWidth="1"/>
    <col min="8" max="8" width="60.25" customWidth="1"/>
    <col min="9" max="9" width="46.375" customWidth="1"/>
    <col min="10" max="10" width="8.75" customWidth="1"/>
    <col min="11" max="11" width="23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DATA!B44</f>
        <v>14</v>
      </c>
      <c r="B2" s="88">
        <f>DATA!E44</f>
        <v>58455.123412020323</v>
      </c>
      <c r="C2" s="88">
        <f>DATA!F44</f>
        <v>701461.48094424384</v>
      </c>
      <c r="D2" s="99">
        <f>DATA!G44</f>
        <v>1444815.0314499689</v>
      </c>
      <c r="E2" s="88">
        <f>DATA!H44</f>
        <v>2146276.5123942127</v>
      </c>
      <c r="F2" s="88">
        <f>DATA!I44</f>
        <v>178856.37603285105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'13'!I21+F10</f>
        <v>1967707.4428363177</v>
      </c>
      <c r="K4" s="19" t="s">
        <v>227</v>
      </c>
      <c r="L4" s="61">
        <f>DATA!G16</f>
        <v>47040</v>
      </c>
    </row>
    <row r="5" spans="1:12" ht="14.25" customHeight="1" x14ac:dyDescent="0.2">
      <c r="H5" s="19" t="s">
        <v>228</v>
      </c>
      <c r="I5" s="19" t="s">
        <v>157</v>
      </c>
      <c r="K5" s="1" t="s">
        <v>194</v>
      </c>
      <c r="L5" s="19">
        <v>0</v>
      </c>
    </row>
    <row r="6" spans="1:12" ht="14.25" customHeight="1" x14ac:dyDescent="0.2">
      <c r="K6" s="1" t="s">
        <v>260</v>
      </c>
      <c r="L6" s="1">
        <f>DATA!F96</f>
        <v>177680.8039749396</v>
      </c>
    </row>
    <row r="7" spans="1:12" ht="14.25" customHeight="1" x14ac:dyDescent="0.2">
      <c r="H7" s="19"/>
      <c r="I7" s="19" t="s">
        <v>229</v>
      </c>
    </row>
    <row r="8" spans="1:12" ht="14.25" customHeight="1" x14ac:dyDescent="0.2">
      <c r="C8" s="39">
        <v>10</v>
      </c>
      <c r="H8" s="19" t="s">
        <v>231</v>
      </c>
      <c r="I8" s="19"/>
      <c r="K8" s="14" t="s">
        <v>230</v>
      </c>
      <c r="L8" s="25">
        <f>SUM(L4:L6)</f>
        <v>224720.8039749396</v>
      </c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1144834.4383527918</v>
      </c>
      <c r="K10" s="19"/>
      <c r="L10" s="19" t="s">
        <v>234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 t="s">
        <v>227</v>
      </c>
      <c r="L11" s="61">
        <f>DATA!G18-SUM(DATA!G3:G16)</f>
        <v>50419.200000000012</v>
      </c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  <c r="K12" s="1" t="s">
        <v>194</v>
      </c>
      <c r="L12" s="19">
        <v>0</v>
      </c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" t="s">
        <v>260</v>
      </c>
      <c r="L13" s="1">
        <f>'13'!L13-L6</f>
        <v>4442020.0993734905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DATA!C71</f>
        <v>1150</v>
      </c>
      <c r="C15" s="1">
        <f>B15*C9</f>
        <v>13800</v>
      </c>
      <c r="H15" s="19" t="s">
        <v>244</v>
      </c>
      <c r="I15" s="19"/>
      <c r="K15" s="14" t="s">
        <v>242</v>
      </c>
      <c r="L15" s="25">
        <f>SUM(L11:L13)</f>
        <v>4492439.2993734907</v>
      </c>
    </row>
    <row r="16" spans="1:12" ht="14.25" customHeight="1" x14ac:dyDescent="0.2">
      <c r="A16" s="1" t="s">
        <v>227</v>
      </c>
      <c r="B16" s="1">
        <f>C16/C9</f>
        <v>3920</v>
      </c>
      <c r="C16" s="88">
        <f t="shared" ref="C16:C18" si="1">L4</f>
        <v>47040</v>
      </c>
    </row>
    <row r="17" spans="1:12" ht="14.25" customHeight="1" x14ac:dyDescent="0.2">
      <c r="A17" s="1" t="s">
        <v>194</v>
      </c>
      <c r="B17" s="1">
        <f>C17/12</f>
        <v>0</v>
      </c>
      <c r="C17" s="1">
        <f t="shared" si="1"/>
        <v>0</v>
      </c>
      <c r="H17" s="19"/>
      <c r="I17" s="19" t="s">
        <v>245</v>
      </c>
    </row>
    <row r="18" spans="1:12" ht="14.25" customHeight="1" x14ac:dyDescent="0.2">
      <c r="A18" s="1" t="s">
        <v>260</v>
      </c>
      <c r="B18" s="1">
        <f>C18/C9</f>
        <v>14806.7336645783</v>
      </c>
      <c r="C18" s="1">
        <f t="shared" si="1"/>
        <v>177680.8039749396</v>
      </c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2">B19*$C$9</f>
        <v>24000</v>
      </c>
    </row>
    <row r="20" spans="1:12" ht="14.25" customHeight="1" x14ac:dyDescent="0.2">
      <c r="A20" s="1" t="s">
        <v>248</v>
      </c>
      <c r="B20" s="1">
        <v>1000</v>
      </c>
      <c r="C20" s="1">
        <f t="shared" si="2"/>
        <v>12000</v>
      </c>
      <c r="E20" s="80" t="s">
        <v>33</v>
      </c>
      <c r="F20" s="11">
        <f>I31-L21</f>
        <v>5182077.7951247878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3">B21*C8</f>
        <v>0</v>
      </c>
      <c r="H21" s="89" t="str">
        <f>A30</f>
        <v>สินทรัพย์สภาพคล่อง</v>
      </c>
      <c r="I21" s="90">
        <f>(SUM(I4:I5)+SUM(I8:I9)+SUM(I12:I15)+SUM(I18))-G41</f>
        <v>1537833.3905835396</v>
      </c>
      <c r="K21" s="41" t="s">
        <v>94</v>
      </c>
      <c r="L21" s="90">
        <f>L8+L15</f>
        <v>4717160.1033484302</v>
      </c>
    </row>
    <row r="22" spans="1:12" ht="14.25" customHeight="1" x14ac:dyDescent="0.2">
      <c r="A22" s="1" t="s">
        <v>250</v>
      </c>
      <c r="B22" s="1">
        <v>550</v>
      </c>
      <c r="C22" s="1">
        <f t="shared" si="3"/>
        <v>6600</v>
      </c>
    </row>
    <row r="23" spans="1:12" ht="14.25" customHeight="1" x14ac:dyDescent="0.2">
      <c r="A23" s="1" t="s">
        <v>259</v>
      </c>
      <c r="B23" s="1">
        <v>20000</v>
      </c>
      <c r="C23" s="1">
        <f>B23*C9</f>
        <v>240000</v>
      </c>
      <c r="I23" s="11"/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255243.2700664812</v>
      </c>
      <c r="F25" s="80"/>
    </row>
    <row r="26" spans="1:12" ht="14.25" customHeight="1" x14ac:dyDescent="0.2">
      <c r="B26" s="19" t="s">
        <v>252</v>
      </c>
      <c r="C26" s="37">
        <f>SUM(C10:C25)</f>
        <v>1001442.0740414208</v>
      </c>
    </row>
    <row r="27" spans="1:12" ht="14.25" customHeight="1" x14ac:dyDescent="0.2">
      <c r="B27" s="19" t="s">
        <v>64</v>
      </c>
      <c r="C27" s="37">
        <f>C26/C9</f>
        <v>83453.506170118402</v>
      </c>
      <c r="G27" s="98">
        <v>0.4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1537833.3905835396</v>
      </c>
      <c r="E29" s="1">
        <v>2</v>
      </c>
      <c r="F29" s="1" t="s">
        <v>214</v>
      </c>
      <c r="G29" s="1">
        <f>DATA!B163</f>
        <v>74573.053335714067</v>
      </c>
      <c r="I29" s="88">
        <f>DATA!C90</f>
        <v>1094000</v>
      </c>
    </row>
    <row r="30" spans="1:12" ht="14.25" customHeight="1" x14ac:dyDescent="0.2">
      <c r="A30" s="80" t="s">
        <v>4</v>
      </c>
      <c r="B30" s="80">
        <f>I21</f>
        <v>1537833.3905835396</v>
      </c>
      <c r="C30" s="80"/>
      <c r="E30" s="1">
        <v>3</v>
      </c>
      <c r="F30" s="1" t="s">
        <v>214</v>
      </c>
      <c r="G30" s="1">
        <f>DATA!C163</f>
        <v>68848.730570552769</v>
      </c>
      <c r="I30" s="1">
        <f>DATA!F103</f>
        <v>5330424.1192481881</v>
      </c>
    </row>
    <row r="31" spans="1:12" ht="14.25" customHeight="1" x14ac:dyDescent="0.2">
      <c r="A31" s="80" t="s">
        <v>32</v>
      </c>
      <c r="B31" s="80">
        <f>L8</f>
        <v>224720.8039749396</v>
      </c>
      <c r="C31" s="80"/>
      <c r="E31" s="1">
        <v>4</v>
      </c>
      <c r="F31" s="1" t="s">
        <v>214</v>
      </c>
      <c r="G31" s="1">
        <f>DATA!D163</f>
        <v>128515.7060414803</v>
      </c>
      <c r="I31" s="11">
        <f>I21+G43+I29+I30</f>
        <v>9899237.8984732181</v>
      </c>
    </row>
    <row r="32" spans="1:12" ht="14.25" customHeight="1" x14ac:dyDescent="0.2">
      <c r="A32" s="80"/>
      <c r="B32" s="94">
        <f>B30/B31</f>
        <v>6.8433067316501575</v>
      </c>
      <c r="C32" s="80" t="s">
        <v>38</v>
      </c>
      <c r="E32" s="1">
        <v>5</v>
      </c>
      <c r="F32" s="1" t="s">
        <v>214</v>
      </c>
      <c r="G32" s="1">
        <f>DATA!E163</f>
        <v>129367.04923244694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DATA!F163</f>
        <v>159589.8265014163</v>
      </c>
    </row>
    <row r="34" spans="1:7" ht="14.25" customHeight="1" x14ac:dyDescent="0.2">
      <c r="A34" s="80"/>
      <c r="B34" s="80" t="s">
        <v>48</v>
      </c>
      <c r="C34" s="80"/>
      <c r="E34" s="1">
        <v>7</v>
      </c>
      <c r="F34" s="1" t="s">
        <v>213</v>
      </c>
      <c r="G34" s="1">
        <f>DATA!G163</f>
        <v>112071.72364023092</v>
      </c>
    </row>
    <row r="35" spans="1:7" ht="14.25" customHeight="1" x14ac:dyDescent="0.2">
      <c r="A35" s="80"/>
      <c r="B35" s="80" t="s">
        <v>54</v>
      </c>
      <c r="C35" s="80"/>
      <c r="E35" s="1">
        <v>8</v>
      </c>
      <c r="F35" s="1" t="s">
        <v>213</v>
      </c>
      <c r="G35" s="1">
        <f>DATA!H163</f>
        <v>142167.80284137235</v>
      </c>
    </row>
    <row r="36" spans="1:7" ht="14.25" customHeight="1" x14ac:dyDescent="0.2">
      <c r="A36" s="80" t="s">
        <v>4</v>
      </c>
      <c r="B36" s="80">
        <f>B30</f>
        <v>1537833.3905835396</v>
      </c>
      <c r="C36" s="80"/>
      <c r="E36" s="1">
        <v>9</v>
      </c>
      <c r="F36" s="1" t="s">
        <v>213</v>
      </c>
      <c r="G36" s="1">
        <f>DATA!I163</f>
        <v>148476.08482956191</v>
      </c>
    </row>
    <row r="37" spans="1:7" ht="14.25" customHeight="1" x14ac:dyDescent="0.2">
      <c r="A37" s="80" t="s">
        <v>60</v>
      </c>
      <c r="B37" s="80">
        <f>C27</f>
        <v>83453.506170118402</v>
      </c>
      <c r="C37" s="80"/>
      <c r="E37" s="1">
        <v>10</v>
      </c>
      <c r="F37" s="1" t="s">
        <v>211</v>
      </c>
      <c r="G37" s="1">
        <f>DATA!J163</f>
        <v>49436.565380074964</v>
      </c>
    </row>
    <row r="38" spans="1:7" ht="14.25" customHeight="1" x14ac:dyDescent="0.2">
      <c r="A38" s="80"/>
      <c r="B38" s="94">
        <f>B36/B37</f>
        <v>18.427426972914656</v>
      </c>
      <c r="C38" s="80" t="s">
        <v>38</v>
      </c>
      <c r="E38" s="1">
        <v>11</v>
      </c>
      <c r="F38" s="1" t="s">
        <v>211</v>
      </c>
      <c r="G38" s="1">
        <f>DATA!K163</f>
        <v>101835.5736261584</v>
      </c>
    </row>
    <row r="39" spans="1:7" ht="14.25" customHeight="1" x14ac:dyDescent="0.2">
      <c r="E39" s="1">
        <v>12</v>
      </c>
      <c r="F39" s="1" t="s">
        <v>211</v>
      </c>
      <c r="G39" s="1">
        <f>DATA!L163</f>
        <v>165014.17797714277</v>
      </c>
    </row>
    <row r="40" spans="1:7" ht="14.25" customHeight="1" x14ac:dyDescent="0.2">
      <c r="A40" s="80"/>
      <c r="B40" s="80" t="s">
        <v>68</v>
      </c>
      <c r="E40" s="1">
        <v>13</v>
      </c>
      <c r="F40" s="1" t="s">
        <v>217</v>
      </c>
      <c r="G40" s="1">
        <f>DATA!M163</f>
        <v>227210.04241256163</v>
      </c>
    </row>
    <row r="41" spans="1:7" ht="14.25" customHeight="1" x14ac:dyDescent="0.2">
      <c r="A41" s="80"/>
      <c r="B41" s="80" t="s">
        <v>71</v>
      </c>
      <c r="E41" s="1">
        <v>14</v>
      </c>
      <c r="F41" s="1" t="s">
        <v>217</v>
      </c>
      <c r="G41" s="1">
        <f>DATA!N163</f>
        <v>429874.05225277803</v>
      </c>
    </row>
    <row r="42" spans="1:7" ht="14.25" customHeight="1" x14ac:dyDescent="0.2">
      <c r="A42" s="80" t="s">
        <v>4</v>
      </c>
      <c r="B42" s="80">
        <f>B30</f>
        <v>1537833.3905835396</v>
      </c>
      <c r="E42" s="1">
        <v>15</v>
      </c>
    </row>
    <row r="43" spans="1:7" ht="14.25" customHeight="1" x14ac:dyDescent="0.2">
      <c r="A43" s="80" t="s">
        <v>33</v>
      </c>
      <c r="B43" s="80">
        <f>F20</f>
        <v>5182077.7951247878</v>
      </c>
      <c r="G43" s="1">
        <f>SUM(G29:G42)</f>
        <v>1936980.3886414915</v>
      </c>
    </row>
    <row r="44" spans="1:7" ht="14.25" customHeight="1" x14ac:dyDescent="0.2">
      <c r="A44" s="80"/>
      <c r="B44" s="77">
        <f>B42/B43</f>
        <v>0.29675999693217797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4717160.1033484302</v>
      </c>
      <c r="C48" s="80"/>
    </row>
    <row r="49" spans="1:6" ht="14.25" customHeight="1" x14ac:dyDescent="0.2">
      <c r="A49" s="80" t="s">
        <v>39</v>
      </c>
      <c r="B49" s="80">
        <f>I31</f>
        <v>9899237.8984732181</v>
      </c>
      <c r="C49" s="80"/>
    </row>
    <row r="50" spans="1:6" ht="14.25" customHeight="1" x14ac:dyDescent="0.2">
      <c r="A50" s="80"/>
      <c r="B50" s="77">
        <f>B48/B49</f>
        <v>0.47651750081447869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5182077.7951247878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9899237.8984732181</v>
      </c>
      <c r="C55" s="80"/>
    </row>
    <row r="56" spans="1:6" ht="14.25" customHeight="1" x14ac:dyDescent="0.2">
      <c r="A56" s="80"/>
      <c r="B56" s="77">
        <f>B54/B55</f>
        <v>0.52348249918552126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L8</f>
        <v>224720.8039749396</v>
      </c>
    </row>
    <row r="61" spans="1:6" ht="14.25" customHeight="1" x14ac:dyDescent="0.2">
      <c r="A61" s="80" t="s">
        <v>107</v>
      </c>
      <c r="B61" s="80">
        <f>E2</f>
        <v>2146276.5123942127</v>
      </c>
      <c r="F61" s="80"/>
    </row>
    <row r="62" spans="1:6" ht="14.25" customHeight="1" x14ac:dyDescent="0.2">
      <c r="A62" s="80"/>
      <c r="B62" s="32">
        <f>B60/B61</f>
        <v>0.10470263392309094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4">B60/12</f>
        <v>18726.7336645783</v>
      </c>
    </row>
    <row r="67" spans="1:6" ht="14.25" customHeight="1" x14ac:dyDescent="0.2">
      <c r="A67" s="80" t="s">
        <v>258</v>
      </c>
      <c r="B67" s="80">
        <f t="shared" si="4"/>
        <v>178856.37603285105</v>
      </c>
    </row>
    <row r="68" spans="1:6" ht="14.25" customHeight="1" x14ac:dyDescent="0.2">
      <c r="A68" s="80"/>
      <c r="B68" s="32">
        <f>B66/B67</f>
        <v>0.10470263392309094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1537833.3905835396</v>
      </c>
    </row>
    <row r="73" spans="1:6" ht="14.25" customHeight="1" x14ac:dyDescent="0.2">
      <c r="A73" s="80" t="s">
        <v>138</v>
      </c>
      <c r="B73" s="80">
        <f>E2</f>
        <v>2146276.5123942127</v>
      </c>
    </row>
    <row r="74" spans="1:6" ht="14.25" customHeight="1" x14ac:dyDescent="0.2">
      <c r="A74" s="80"/>
      <c r="B74" s="77">
        <f>B72/B73</f>
        <v>0.71651223954739041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G43</f>
        <v>1936980.3886414915</v>
      </c>
      <c r="C78" s="80"/>
    </row>
    <row r="79" spans="1:6" ht="14.25" customHeight="1" x14ac:dyDescent="0.2">
      <c r="A79" s="80" t="s">
        <v>33</v>
      </c>
      <c r="B79" s="80">
        <f>B43</f>
        <v>5182077.7951247878</v>
      </c>
      <c r="C79" s="80"/>
    </row>
    <row r="80" spans="1:6" ht="14.25" customHeight="1" x14ac:dyDescent="0.2">
      <c r="A80" s="80"/>
      <c r="B80" s="77">
        <f>B78/B79</f>
        <v>0.37378450598788199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A91-B109</f>
        <v>1560973.0802659248</v>
      </c>
    </row>
    <row r="91" spans="1:5" ht="14.25" customHeight="1" x14ac:dyDescent="0.2">
      <c r="A91" s="96">
        <f>E2</f>
        <v>2146276.5123942127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5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5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200000</v>
      </c>
      <c r="D95" s="24">
        <v>0.1</v>
      </c>
      <c r="E95" s="25">
        <f t="shared" si="5"/>
        <v>20000</v>
      </c>
    </row>
    <row r="96" spans="1:5" ht="14.25" customHeight="1" x14ac:dyDescent="0.2">
      <c r="B96" s="22" t="s">
        <v>52</v>
      </c>
      <c r="C96" s="23">
        <f>IF((A90-C93-C94-C95)&gt;=250000,250000,(A90-C93-C94-C95))</f>
        <v>250000</v>
      </c>
      <c r="D96" s="24">
        <v>0.15</v>
      </c>
      <c r="E96" s="25">
        <f t="shared" si="5"/>
        <v>37500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250000</v>
      </c>
      <c r="D97" s="24">
        <v>0.2</v>
      </c>
      <c r="E97" s="25">
        <f t="shared" si="5"/>
        <v>50000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560973.0802659248</v>
      </c>
      <c r="D98" s="24">
        <v>0.25</v>
      </c>
      <c r="E98" s="25">
        <f t="shared" si="5"/>
        <v>140243.2700664812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0</v>
      </c>
      <c r="D99" s="24">
        <v>0.3</v>
      </c>
      <c r="E99" s="25">
        <f t="shared" si="5"/>
        <v>0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5"/>
        <v>0</v>
      </c>
    </row>
    <row r="101" spans="1:5" ht="14.25" customHeight="1" x14ac:dyDescent="0.35">
      <c r="E101" s="97">
        <f>SUM(E93:E100)</f>
        <v>255243.2700664812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A107" s="19" t="s">
        <v>211</v>
      </c>
      <c r="B107" s="19">
        <f>DATA!E145</f>
        <v>200000</v>
      </c>
    </row>
    <row r="108" spans="1:5" ht="14.25" customHeight="1" x14ac:dyDescent="0.2">
      <c r="A108" s="19" t="s">
        <v>212</v>
      </c>
      <c r="B108" s="19">
        <f>DATA!F145</f>
        <v>216303.43212828797</v>
      </c>
    </row>
    <row r="109" spans="1:5" ht="14.25" customHeight="1" x14ac:dyDescent="0.2">
      <c r="B109" s="45">
        <f>SUM(B104:B108)</f>
        <v>585303.43212828797</v>
      </c>
    </row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37" priority="1" operator="greaterThan">
      <formula>0.9999999999</formula>
    </cfRule>
    <cfRule type="cellIs" dxfId="36" priority="2" operator="lessThan">
      <formula>1</formula>
    </cfRule>
  </conditionalFormatting>
  <conditionalFormatting sqref="B38">
    <cfRule type="cellIs" dxfId="35" priority="3" operator="greaterThan">
      <formula>5.9999</formula>
    </cfRule>
    <cfRule type="cellIs" dxfId="34" priority="4" operator="lessThan">
      <formula>3</formula>
    </cfRule>
  </conditionalFormatting>
  <conditionalFormatting sqref="B44">
    <cfRule type="cellIs" dxfId="33" priority="5" operator="greaterThan">
      <formula>0.29</formula>
    </cfRule>
    <cfRule type="cellIs" dxfId="32" priority="6" operator="lessThan">
      <formula>0.05</formula>
    </cfRule>
    <cfRule type="cellIs" dxfId="31" priority="7" operator="greaterThan">
      <formula>0.049</formula>
    </cfRule>
  </conditionalFormatting>
  <conditionalFormatting sqref="B50">
    <cfRule type="cellIs" dxfId="30" priority="8" operator="greaterThan">
      <formula>0.49</formula>
    </cfRule>
    <cfRule type="cellIs" dxfId="29" priority="9" operator="lessThan">
      <formula>0.41</formula>
    </cfRule>
  </conditionalFormatting>
  <conditionalFormatting sqref="B56">
    <cfRule type="cellIs" dxfId="28" priority="10" operator="lessThan">
      <formula>0.41</formula>
    </cfRule>
    <cfRule type="cellIs" dxfId="27" priority="11" operator="greaterThan">
      <formula>0.59</formula>
    </cfRule>
  </conditionalFormatting>
  <conditionalFormatting sqref="B62">
    <cfRule type="cellIs" dxfId="26" priority="12" operator="greaterThan">
      <formula>0.39</formula>
    </cfRule>
    <cfRule type="cellIs" dxfId="25" priority="13" operator="lessThan">
      <formula>0.281</formula>
    </cfRule>
  </conditionalFormatting>
  <conditionalFormatting sqref="B68">
    <cfRule type="cellIs" dxfId="24" priority="14" operator="greaterThan">
      <formula>0.39</formula>
    </cfRule>
    <cfRule type="cellIs" dxfId="23" priority="15" operator="lessThan">
      <formula>0.281</formula>
    </cfRule>
  </conditionalFormatting>
  <conditionalFormatting sqref="B74">
    <cfRule type="cellIs" dxfId="22" priority="16" operator="lessThan">
      <formula>0.1</formula>
    </cfRule>
    <cfRule type="cellIs" dxfId="21" priority="17" operator="greaterThan">
      <formula>0.19</formula>
    </cfRule>
  </conditionalFormatting>
  <conditionalFormatting sqref="B80">
    <cfRule type="cellIs" dxfId="20" priority="18" operator="lessThan">
      <formula>0.3</formula>
    </cfRule>
    <cfRule type="cellIs" dxfId="19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1000"/>
  <sheetViews>
    <sheetView workbookViewId="0"/>
  </sheetViews>
  <sheetFormatPr defaultColWidth="12.625" defaultRowHeight="15" customHeight="1" x14ac:dyDescent="0.2"/>
  <cols>
    <col min="1" max="1" width="28.75" customWidth="1"/>
    <col min="2" max="2" width="16.375" customWidth="1"/>
    <col min="3" max="3" width="13.625" customWidth="1"/>
    <col min="4" max="4" width="19" customWidth="1"/>
    <col min="5" max="5" width="19.75" customWidth="1"/>
    <col min="6" max="6" width="18.375" customWidth="1"/>
    <col min="7" max="7" width="10.375" customWidth="1"/>
    <col min="8" max="8" width="60.25" customWidth="1"/>
    <col min="9" max="9" width="46.375" customWidth="1"/>
    <col min="10" max="10" width="8.75" customWidth="1"/>
    <col min="11" max="11" width="23.375" customWidth="1"/>
    <col min="12" max="12" width="26.125" customWidth="1"/>
    <col min="13" max="26" width="14.375" customWidth="1"/>
  </cols>
  <sheetData>
    <row r="1" spans="1:12" ht="14.25" customHeight="1" x14ac:dyDescent="0.2">
      <c r="B1" s="27" t="s">
        <v>220</v>
      </c>
      <c r="C1" s="1" t="s">
        <v>221</v>
      </c>
      <c r="D1" s="1" t="s">
        <v>222</v>
      </c>
      <c r="E1" s="1" t="s">
        <v>138</v>
      </c>
      <c r="F1" s="1" t="s">
        <v>223</v>
      </c>
    </row>
    <row r="2" spans="1:12" ht="14.25" customHeight="1" x14ac:dyDescent="0.2">
      <c r="A2" s="1">
        <f>DATA!B45</f>
        <v>15</v>
      </c>
      <c r="B2" s="88">
        <f>DATA!E45</f>
        <v>61377.879582621339</v>
      </c>
      <c r="C2" s="88">
        <f>DATA!F45</f>
        <v>736534.5549914561</v>
      </c>
      <c r="D2" s="99">
        <f>DATA!G45</f>
        <v>2022741.0440299565</v>
      </c>
      <c r="E2" s="88">
        <f>DATA!H45</f>
        <v>2759275.5990214124</v>
      </c>
      <c r="F2" s="88">
        <f>DATA!I45</f>
        <v>229939.63325178437</v>
      </c>
    </row>
    <row r="3" spans="1:12" ht="14.25" customHeight="1" x14ac:dyDescent="0.2">
      <c r="H3" s="19"/>
      <c r="I3" s="19" t="s">
        <v>224</v>
      </c>
      <c r="K3" s="19"/>
      <c r="L3" s="19" t="s">
        <v>225</v>
      </c>
    </row>
    <row r="4" spans="1:12" ht="14.25" customHeight="1" x14ac:dyDescent="0.2">
      <c r="H4" s="19" t="s">
        <v>226</v>
      </c>
      <c r="I4" s="37">
        <f>'14'!I21+F10</f>
        <v>3155448.3059235886</v>
      </c>
      <c r="K4" s="19" t="s">
        <v>227</v>
      </c>
      <c r="L4" s="61">
        <f>DATA!G17</f>
        <v>50419.199999999997</v>
      </c>
    </row>
    <row r="5" spans="1:12" ht="14.25" customHeight="1" x14ac:dyDescent="0.2">
      <c r="H5" s="19" t="s">
        <v>228</v>
      </c>
      <c r="I5" s="19" t="s">
        <v>157</v>
      </c>
      <c r="K5" s="1" t="s">
        <v>194</v>
      </c>
      <c r="L5" s="19">
        <v>0</v>
      </c>
    </row>
    <row r="6" spans="1:12" ht="14.25" customHeight="1" x14ac:dyDescent="0.2">
      <c r="K6" s="1" t="s">
        <v>260</v>
      </c>
      <c r="L6" s="1">
        <f>DATA!F96</f>
        <v>177680.8039749396</v>
      </c>
    </row>
    <row r="7" spans="1:12" ht="14.25" customHeight="1" x14ac:dyDescent="0.2">
      <c r="H7" s="19"/>
      <c r="I7" s="19" t="s">
        <v>229</v>
      </c>
    </row>
    <row r="8" spans="1:12" ht="14.25" customHeight="1" x14ac:dyDescent="0.2">
      <c r="C8" s="39">
        <v>10</v>
      </c>
      <c r="H8" s="19" t="s">
        <v>231</v>
      </c>
      <c r="I8" s="19"/>
      <c r="K8" s="14" t="s">
        <v>230</v>
      </c>
      <c r="L8" s="25">
        <f>SUM(L4:L6)</f>
        <v>228100.00397493958</v>
      </c>
    </row>
    <row r="9" spans="1:12" ht="14.25" customHeight="1" x14ac:dyDescent="0.2">
      <c r="B9" s="1" t="s">
        <v>232</v>
      </c>
      <c r="C9" s="1">
        <v>12</v>
      </c>
      <c r="H9" s="19" t="s">
        <v>233</v>
      </c>
      <c r="I9" s="19"/>
    </row>
    <row r="10" spans="1:12" ht="14.25" customHeight="1" x14ac:dyDescent="0.2">
      <c r="A10" s="1" t="s">
        <v>235</v>
      </c>
      <c r="B10" s="1">
        <v>6804</v>
      </c>
      <c r="C10" s="1">
        <f t="shared" ref="C10:C13" si="0">B10*$C$9</f>
        <v>81648</v>
      </c>
      <c r="F10" s="11">
        <f>E2-C26</f>
        <v>1617614.9153400492</v>
      </c>
      <c r="K10" s="19"/>
      <c r="L10" s="19" t="s">
        <v>234</v>
      </c>
    </row>
    <row r="11" spans="1:12" ht="14.25" customHeight="1" x14ac:dyDescent="0.2">
      <c r="A11" s="1" t="s">
        <v>236</v>
      </c>
      <c r="B11" s="1">
        <v>6200</v>
      </c>
      <c r="C11" s="1">
        <f t="shared" si="0"/>
        <v>74400</v>
      </c>
      <c r="H11" s="19"/>
      <c r="I11" s="19" t="s">
        <v>237</v>
      </c>
      <c r="K11" s="19" t="s">
        <v>227</v>
      </c>
      <c r="L11" s="61">
        <f>DATA!G18-SUM(DATA!G3:G17)</f>
        <v>0</v>
      </c>
    </row>
    <row r="12" spans="1:12" ht="14.25" customHeight="1" x14ac:dyDescent="0.2">
      <c r="A12" s="1" t="s">
        <v>238</v>
      </c>
      <c r="B12" s="1">
        <v>1920</v>
      </c>
      <c r="C12" s="1">
        <f t="shared" si="0"/>
        <v>23040</v>
      </c>
      <c r="H12" s="19" t="s">
        <v>239</v>
      </c>
      <c r="I12" s="19"/>
      <c r="K12" s="1" t="s">
        <v>194</v>
      </c>
      <c r="L12" s="19">
        <v>0</v>
      </c>
    </row>
    <row r="13" spans="1:12" ht="14.25" customHeight="1" x14ac:dyDescent="0.2">
      <c r="A13" s="1" t="s">
        <v>240</v>
      </c>
      <c r="B13" s="1">
        <v>1350</v>
      </c>
      <c r="C13" s="1">
        <f t="shared" si="0"/>
        <v>16200</v>
      </c>
      <c r="H13" s="19" t="s">
        <v>241</v>
      </c>
      <c r="I13" s="19"/>
      <c r="K13" s="1" t="s">
        <v>260</v>
      </c>
      <c r="L13" s="1">
        <f>'14'!L13-L6</f>
        <v>4264339.295398551</v>
      </c>
    </row>
    <row r="14" spans="1:12" ht="14.25" customHeight="1" x14ac:dyDescent="0.2">
      <c r="A14" s="1" t="s">
        <v>122</v>
      </c>
      <c r="C14" s="1">
        <v>29790</v>
      </c>
      <c r="H14" s="19" t="s">
        <v>243</v>
      </c>
      <c r="I14" s="19"/>
    </row>
    <row r="15" spans="1:12" ht="14.25" customHeight="1" x14ac:dyDescent="0.2">
      <c r="A15" s="1" t="s">
        <v>45</v>
      </c>
      <c r="B15" s="1">
        <f>DATA!C71</f>
        <v>1150</v>
      </c>
      <c r="C15" s="1">
        <f>B15*C9</f>
        <v>13800</v>
      </c>
      <c r="H15" s="19" t="s">
        <v>244</v>
      </c>
      <c r="I15" s="19"/>
      <c r="K15" s="14" t="s">
        <v>242</v>
      </c>
      <c r="L15" s="25">
        <f>SUM(L11:L13)</f>
        <v>4264339.295398551</v>
      </c>
    </row>
    <row r="16" spans="1:12" ht="14.25" customHeight="1" x14ac:dyDescent="0.2">
      <c r="A16" s="1" t="s">
        <v>227</v>
      </c>
      <c r="B16" s="1">
        <f>C16/C9</f>
        <v>4201.5999999999995</v>
      </c>
      <c r="C16" s="88">
        <f t="shared" ref="C16:C18" si="1">L4</f>
        <v>50419.199999999997</v>
      </c>
    </row>
    <row r="17" spans="1:12" ht="14.25" customHeight="1" x14ac:dyDescent="0.2">
      <c r="A17" s="1" t="s">
        <v>194</v>
      </c>
      <c r="B17" s="1">
        <f>C17/12</f>
        <v>0</v>
      </c>
      <c r="C17" s="1">
        <f t="shared" si="1"/>
        <v>0</v>
      </c>
      <c r="H17" s="19"/>
      <c r="I17" s="19" t="s">
        <v>245</v>
      </c>
    </row>
    <row r="18" spans="1:12" ht="14.25" customHeight="1" x14ac:dyDescent="0.2">
      <c r="A18" s="1" t="s">
        <v>260</v>
      </c>
      <c r="B18" s="1">
        <f>C18/C9</f>
        <v>14806.7336645783</v>
      </c>
      <c r="C18" s="1">
        <f t="shared" si="1"/>
        <v>177680.8039749396</v>
      </c>
      <c r="H18" s="19" t="s">
        <v>246</v>
      </c>
      <c r="I18" s="19"/>
    </row>
    <row r="19" spans="1:12" ht="14.25" customHeight="1" x14ac:dyDescent="0.2">
      <c r="A19" s="1" t="s">
        <v>247</v>
      </c>
      <c r="B19" s="1">
        <v>2000</v>
      </c>
      <c r="C19" s="1">
        <f t="shared" ref="C19:C20" si="2">B19*$C$9</f>
        <v>24000</v>
      </c>
    </row>
    <row r="20" spans="1:12" ht="14.25" customHeight="1" x14ac:dyDescent="0.2">
      <c r="A20" s="1" t="s">
        <v>248</v>
      </c>
      <c r="B20" s="1">
        <v>1000</v>
      </c>
      <c r="C20" s="1">
        <f t="shared" si="2"/>
        <v>12000</v>
      </c>
      <c r="E20" s="80" t="s">
        <v>33</v>
      </c>
      <c r="F20" s="11">
        <f>I31-L21</f>
        <v>7112552.9183066543</v>
      </c>
    </row>
    <row r="21" spans="1:12" ht="14.25" customHeight="1" x14ac:dyDescent="0.2">
      <c r="A21" s="1" t="s">
        <v>249</v>
      </c>
      <c r="B21" s="1">
        <v>0</v>
      </c>
      <c r="C21" s="1">
        <f t="shared" ref="C21:C22" si="3">B21*C8</f>
        <v>0</v>
      </c>
      <c r="H21" s="89" t="str">
        <f>A30</f>
        <v>สินทรัพย์สภาพคล่อง</v>
      </c>
      <c r="I21" s="90">
        <f>(SUM(I4:I5)+SUM(I8:I9)+SUM(I12:I15)+SUM(I18))-G42</f>
        <v>2548855.7309728083</v>
      </c>
      <c r="K21" s="41" t="s">
        <v>94</v>
      </c>
      <c r="L21" s="90">
        <f>L8+L15</f>
        <v>4492439.2993734907</v>
      </c>
    </row>
    <row r="22" spans="1:12" ht="14.25" customHeight="1" x14ac:dyDescent="0.2">
      <c r="A22" s="1" t="s">
        <v>250</v>
      </c>
      <c r="B22" s="1">
        <v>550</v>
      </c>
      <c r="C22" s="1">
        <f t="shared" si="3"/>
        <v>6600</v>
      </c>
    </row>
    <row r="23" spans="1:12" ht="14.25" customHeight="1" x14ac:dyDescent="0.2">
      <c r="A23" s="1" t="s">
        <v>259</v>
      </c>
      <c r="B23" s="1">
        <v>20000</v>
      </c>
      <c r="C23" s="1">
        <f>B23*C9</f>
        <v>240000</v>
      </c>
      <c r="I23" s="11"/>
    </row>
    <row r="24" spans="1:12" ht="14.25" customHeight="1" x14ac:dyDescent="0.2">
      <c r="F24" s="80"/>
    </row>
    <row r="25" spans="1:12" ht="14.25" customHeight="1" x14ac:dyDescent="0.2">
      <c r="A25" s="1" t="s">
        <v>251</v>
      </c>
      <c r="C25" s="7">
        <f>E101</f>
        <v>392082.67970642372</v>
      </c>
      <c r="F25" s="80"/>
    </row>
    <row r="26" spans="1:12" ht="14.25" customHeight="1" x14ac:dyDescent="0.2">
      <c r="B26" s="19" t="s">
        <v>252</v>
      </c>
      <c r="C26" s="37">
        <f>SUM(C10:C25)</f>
        <v>1141660.6836813632</v>
      </c>
    </row>
    <row r="27" spans="1:12" ht="14.25" customHeight="1" x14ac:dyDescent="0.2">
      <c r="B27" s="19" t="s">
        <v>64</v>
      </c>
      <c r="C27" s="37">
        <f>C26/C9</f>
        <v>95138.390306780275</v>
      </c>
      <c r="G27" s="98">
        <v>0.4</v>
      </c>
    </row>
    <row r="28" spans="1:12" ht="14.25" customHeight="1" x14ac:dyDescent="0.2">
      <c r="A28" s="80"/>
      <c r="B28" s="80" t="s">
        <v>8</v>
      </c>
      <c r="C28" s="80"/>
      <c r="D28" s="27" t="s">
        <v>136</v>
      </c>
      <c r="G28" s="1" t="s">
        <v>215</v>
      </c>
      <c r="I28" s="80" t="s">
        <v>39</v>
      </c>
    </row>
    <row r="29" spans="1:12" ht="14.25" customHeight="1" x14ac:dyDescent="0.2">
      <c r="A29" s="80"/>
      <c r="B29" s="80" t="s">
        <v>19</v>
      </c>
      <c r="C29" s="80"/>
      <c r="D29" s="11">
        <f>I21</f>
        <v>2548855.7309728083</v>
      </c>
      <c r="E29" s="1">
        <v>2</v>
      </c>
      <c r="F29" s="1" t="s">
        <v>214</v>
      </c>
      <c r="G29" s="1">
        <f>DATA!B164</f>
        <v>77183.110202464071</v>
      </c>
      <c r="I29" s="88">
        <f>DATA!C90</f>
        <v>1094000</v>
      </c>
    </row>
    <row r="30" spans="1:12" ht="14.25" customHeight="1" x14ac:dyDescent="0.2">
      <c r="A30" s="80" t="s">
        <v>4</v>
      </c>
      <c r="B30" s="80">
        <f>I21</f>
        <v>2548855.7309728083</v>
      </c>
      <c r="C30" s="80"/>
      <c r="E30" s="1">
        <v>3</v>
      </c>
      <c r="F30" s="1" t="s">
        <v>214</v>
      </c>
      <c r="G30" s="1">
        <f>DATA!C164</f>
        <v>71258.436140522099</v>
      </c>
      <c r="I30" s="1">
        <f>DATA!F103</f>
        <v>5330424.1192481881</v>
      </c>
    </row>
    <row r="31" spans="1:12" ht="14.25" customHeight="1" x14ac:dyDescent="0.2">
      <c r="A31" s="80" t="s">
        <v>32</v>
      </c>
      <c r="B31" s="80">
        <f>L8</f>
        <v>228100.00397493958</v>
      </c>
      <c r="C31" s="80"/>
      <c r="E31" s="1">
        <v>4</v>
      </c>
      <c r="F31" s="1" t="s">
        <v>214</v>
      </c>
      <c r="G31" s="1">
        <f>DATA!D164</f>
        <v>133013.75575293211</v>
      </c>
      <c r="I31" s="11">
        <f>I21+G43+I29+I30</f>
        <v>11604992.217680145</v>
      </c>
    </row>
    <row r="32" spans="1:12" ht="14.25" customHeight="1" x14ac:dyDescent="0.2">
      <c r="A32" s="80"/>
      <c r="B32" s="94">
        <f>B30/B31</f>
        <v>11.174290603049883</v>
      </c>
      <c r="C32" s="80" t="s">
        <v>38</v>
      </c>
      <c r="E32" s="1">
        <v>5</v>
      </c>
      <c r="F32" s="1" t="s">
        <v>214</v>
      </c>
      <c r="G32" s="1">
        <f>DATA!E164</f>
        <v>133894.89595558259</v>
      </c>
    </row>
    <row r="33" spans="1:7" ht="14.25" customHeight="1" x14ac:dyDescent="0.2">
      <c r="A33" s="80"/>
      <c r="B33" s="80"/>
      <c r="C33" s="80"/>
      <c r="D33" s="80"/>
      <c r="E33" s="80">
        <v>6</v>
      </c>
      <c r="F33" s="1" t="s">
        <v>216</v>
      </c>
      <c r="G33" s="1">
        <f>DATA!F164</f>
        <v>165029.95559963933</v>
      </c>
    </row>
    <row r="34" spans="1:7" ht="14.25" customHeight="1" x14ac:dyDescent="0.2">
      <c r="A34" s="80"/>
      <c r="B34" s="80" t="s">
        <v>48</v>
      </c>
      <c r="C34" s="80"/>
      <c r="E34" s="1">
        <v>7</v>
      </c>
      <c r="F34" s="1" t="s">
        <v>213</v>
      </c>
      <c r="G34" s="1">
        <f>DATA!G164</f>
        <v>122718.53738605283</v>
      </c>
    </row>
    <row r="35" spans="1:7" ht="14.25" customHeight="1" x14ac:dyDescent="0.2">
      <c r="A35" s="80"/>
      <c r="B35" s="80" t="s">
        <v>54</v>
      </c>
      <c r="C35" s="80"/>
      <c r="E35" s="1">
        <v>8</v>
      </c>
      <c r="F35" s="1" t="s">
        <v>213</v>
      </c>
      <c r="G35" s="1">
        <f>DATA!H164</f>
        <v>155673.74411130272</v>
      </c>
    </row>
    <row r="36" spans="1:7" ht="14.25" customHeight="1" x14ac:dyDescent="0.2">
      <c r="A36" s="80" t="s">
        <v>4</v>
      </c>
      <c r="B36" s="80">
        <f>B30</f>
        <v>2548855.7309728083</v>
      </c>
      <c r="C36" s="80"/>
      <c r="E36" s="1">
        <v>9</v>
      </c>
      <c r="F36" s="1" t="s">
        <v>213</v>
      </c>
      <c r="G36" s="1">
        <f>DATA!I164</f>
        <v>162581.31288837027</v>
      </c>
    </row>
    <row r="37" spans="1:7" ht="14.25" customHeight="1" x14ac:dyDescent="0.2">
      <c r="A37" s="80" t="s">
        <v>60</v>
      </c>
      <c r="B37" s="80">
        <f>C27</f>
        <v>95138.390306780275</v>
      </c>
      <c r="C37" s="80"/>
      <c r="E37" s="1">
        <v>10</v>
      </c>
      <c r="F37" s="1" t="s">
        <v>211</v>
      </c>
      <c r="G37" s="1">
        <f>DATA!J164</f>
        <v>50919.662341477211</v>
      </c>
    </row>
    <row r="38" spans="1:7" ht="14.25" customHeight="1" x14ac:dyDescent="0.2">
      <c r="A38" s="80"/>
      <c r="B38" s="94">
        <f>B36/B37</f>
        <v>26.791032755061842</v>
      </c>
      <c r="C38" s="80" t="s">
        <v>38</v>
      </c>
      <c r="E38" s="1">
        <v>11</v>
      </c>
      <c r="F38" s="1" t="s">
        <v>211</v>
      </c>
      <c r="G38" s="1">
        <f>DATA!K164</f>
        <v>104890.64083494314</v>
      </c>
    </row>
    <row r="39" spans="1:7" ht="14.25" customHeight="1" x14ac:dyDescent="0.2">
      <c r="E39" s="1">
        <v>12</v>
      </c>
      <c r="F39" s="1" t="s">
        <v>211</v>
      </c>
      <c r="G39" s="1">
        <f>DATA!L164</f>
        <v>169964.60331645704</v>
      </c>
    </row>
    <row r="40" spans="1:7" ht="14.25" customHeight="1" x14ac:dyDescent="0.2">
      <c r="A40" s="80"/>
      <c r="B40" s="80" t="s">
        <v>68</v>
      </c>
      <c r="E40" s="1">
        <v>13</v>
      </c>
      <c r="F40" s="1" t="s">
        <v>217</v>
      </c>
      <c r="G40" s="1">
        <f>DATA!M164</f>
        <v>234101.49389700126</v>
      </c>
    </row>
    <row r="41" spans="1:7" ht="14.25" customHeight="1" x14ac:dyDescent="0.2">
      <c r="A41" s="80"/>
      <c r="B41" s="80" t="s">
        <v>71</v>
      </c>
      <c r="E41" s="1">
        <v>14</v>
      </c>
      <c r="F41" s="1" t="s">
        <v>217</v>
      </c>
      <c r="G41" s="1">
        <f>DATA!N164</f>
        <v>443889.64408162527</v>
      </c>
    </row>
    <row r="42" spans="1:7" ht="14.25" customHeight="1" x14ac:dyDescent="0.2">
      <c r="A42" s="80" t="s">
        <v>4</v>
      </c>
      <c r="B42" s="80">
        <f>B30</f>
        <v>2548855.7309728083</v>
      </c>
      <c r="E42" s="1">
        <v>15</v>
      </c>
      <c r="F42" s="1" t="s">
        <v>218</v>
      </c>
      <c r="G42" s="1">
        <f>DATA!O164</f>
        <v>606592.57495078037</v>
      </c>
    </row>
    <row r="43" spans="1:7" ht="14.25" customHeight="1" x14ac:dyDescent="0.2">
      <c r="A43" s="80" t="s">
        <v>33</v>
      </c>
      <c r="B43" s="80">
        <f>F20</f>
        <v>7112552.9183066543</v>
      </c>
      <c r="G43" s="1">
        <f>SUM(G29:G42)</f>
        <v>2631712.36745915</v>
      </c>
    </row>
    <row r="44" spans="1:7" ht="14.25" customHeight="1" x14ac:dyDescent="0.2">
      <c r="A44" s="80"/>
      <c r="B44" s="77">
        <f>B42/B43</f>
        <v>0.35836017815943871</v>
      </c>
    </row>
    <row r="45" spans="1:7" ht="14.25" customHeight="1" x14ac:dyDescent="0.2">
      <c r="A45" s="80"/>
      <c r="B45" s="80"/>
      <c r="C45" s="80"/>
      <c r="D45" s="80"/>
      <c r="E45" s="80"/>
      <c r="F45" s="80"/>
    </row>
    <row r="46" spans="1:7" ht="14.25" customHeight="1" x14ac:dyDescent="0.2">
      <c r="A46" s="80"/>
      <c r="B46" s="80" t="s">
        <v>253</v>
      </c>
      <c r="C46" s="80"/>
      <c r="D46" s="80"/>
      <c r="E46" s="80"/>
      <c r="F46" s="80"/>
    </row>
    <row r="47" spans="1:7" ht="14.25" customHeight="1" x14ac:dyDescent="0.2">
      <c r="A47" s="80"/>
      <c r="B47" s="80" t="s">
        <v>92</v>
      </c>
      <c r="C47" s="80"/>
    </row>
    <row r="48" spans="1:7" ht="14.25" customHeight="1" x14ac:dyDescent="0.2">
      <c r="A48" s="80" t="s">
        <v>94</v>
      </c>
      <c r="B48" s="80">
        <f>L21</f>
        <v>4492439.2993734907</v>
      </c>
      <c r="C48" s="80"/>
    </row>
    <row r="49" spans="1:6" ht="14.25" customHeight="1" x14ac:dyDescent="0.2">
      <c r="A49" s="80" t="s">
        <v>39</v>
      </c>
      <c r="B49" s="80">
        <f>I31</f>
        <v>11604992.217680145</v>
      </c>
      <c r="C49" s="80"/>
    </row>
    <row r="50" spans="1:6" ht="14.25" customHeight="1" x14ac:dyDescent="0.2">
      <c r="A50" s="80"/>
      <c r="B50" s="77">
        <f>B48/B49</f>
        <v>0.38711265075467116</v>
      </c>
      <c r="C50" s="80"/>
    </row>
    <row r="51" spans="1:6" ht="14.25" customHeight="1" x14ac:dyDescent="0.2">
      <c r="A51" s="80"/>
      <c r="B51" s="80"/>
      <c r="C51" s="80"/>
    </row>
    <row r="52" spans="1:6" ht="14.25" customHeight="1" x14ac:dyDescent="0.2">
      <c r="A52" s="80"/>
      <c r="B52" s="80" t="s">
        <v>21</v>
      </c>
      <c r="C52" s="80"/>
    </row>
    <row r="53" spans="1:6" ht="14.25" customHeight="1" x14ac:dyDescent="0.2">
      <c r="A53" s="80"/>
      <c r="B53" s="80" t="s">
        <v>27</v>
      </c>
      <c r="C53" s="80"/>
    </row>
    <row r="54" spans="1:6" ht="14.25" customHeight="1" x14ac:dyDescent="0.2">
      <c r="A54" s="80" t="s">
        <v>33</v>
      </c>
      <c r="B54" s="80">
        <f>B43</f>
        <v>7112552.9183066543</v>
      </c>
      <c r="C54" s="80"/>
      <c r="D54" s="80"/>
      <c r="E54" s="80"/>
      <c r="F54" s="80"/>
    </row>
    <row r="55" spans="1:6" ht="14.25" customHeight="1" x14ac:dyDescent="0.2">
      <c r="A55" s="80" t="s">
        <v>39</v>
      </c>
      <c r="B55" s="80">
        <f>B49</f>
        <v>11604992.217680145</v>
      </c>
      <c r="C55" s="80"/>
    </row>
    <row r="56" spans="1:6" ht="14.25" customHeight="1" x14ac:dyDescent="0.2">
      <c r="A56" s="80"/>
      <c r="B56" s="77">
        <f>B54/B55</f>
        <v>0.61288734924532884</v>
      </c>
      <c r="C56" s="80"/>
    </row>
    <row r="57" spans="1:6" ht="14.25" customHeight="1" x14ac:dyDescent="0.2"/>
    <row r="58" spans="1:6" ht="14.25" customHeight="1" x14ac:dyDescent="0.2">
      <c r="A58" s="80"/>
      <c r="B58" s="80" t="s">
        <v>254</v>
      </c>
    </row>
    <row r="59" spans="1:6" ht="14.25" customHeight="1" x14ac:dyDescent="0.2">
      <c r="A59" s="80"/>
      <c r="B59" s="80" t="s">
        <v>104</v>
      </c>
    </row>
    <row r="60" spans="1:6" ht="14.25" customHeight="1" x14ac:dyDescent="0.2">
      <c r="A60" s="80" t="s">
        <v>106</v>
      </c>
      <c r="B60" s="80">
        <f>L8</f>
        <v>228100.00397493958</v>
      </c>
    </row>
    <row r="61" spans="1:6" ht="14.25" customHeight="1" x14ac:dyDescent="0.2">
      <c r="A61" s="80" t="s">
        <v>107</v>
      </c>
      <c r="B61" s="80">
        <f>E2</f>
        <v>2759275.5990214124</v>
      </c>
      <c r="F61" s="80"/>
    </row>
    <row r="62" spans="1:6" ht="14.25" customHeight="1" x14ac:dyDescent="0.2">
      <c r="A62" s="80"/>
      <c r="B62" s="32">
        <f>B60/B61</f>
        <v>8.2666625999895091E-2</v>
      </c>
      <c r="F62" s="80"/>
    </row>
    <row r="63" spans="1:6" ht="14.25" customHeight="1" x14ac:dyDescent="0.2">
      <c r="F63" s="80"/>
    </row>
    <row r="64" spans="1:6" ht="14.25" customHeight="1" x14ac:dyDescent="0.2">
      <c r="A64" s="80"/>
      <c r="B64" s="80" t="s">
        <v>255</v>
      </c>
      <c r="F64" s="80"/>
    </row>
    <row r="65" spans="1:6" ht="14.25" customHeight="1" x14ac:dyDescent="0.2">
      <c r="A65" s="80"/>
      <c r="B65" s="80" t="s">
        <v>256</v>
      </c>
      <c r="F65" s="80"/>
    </row>
    <row r="66" spans="1:6" ht="14.25" customHeight="1" x14ac:dyDescent="0.2">
      <c r="A66" s="80" t="s">
        <v>257</v>
      </c>
      <c r="B66" s="80">
        <f t="shared" ref="B66:B67" si="4">B60/12</f>
        <v>19008.333664578298</v>
      </c>
    </row>
    <row r="67" spans="1:6" ht="14.25" customHeight="1" x14ac:dyDescent="0.2">
      <c r="A67" s="80" t="s">
        <v>258</v>
      </c>
      <c r="B67" s="80">
        <f t="shared" si="4"/>
        <v>229939.63325178437</v>
      </c>
    </row>
    <row r="68" spans="1:6" ht="14.25" customHeight="1" x14ac:dyDescent="0.2">
      <c r="A68" s="80"/>
      <c r="B68" s="32">
        <f>B66/B67</f>
        <v>8.2666625999895091E-2</v>
      </c>
    </row>
    <row r="69" spans="1:6" ht="14.25" customHeight="1" x14ac:dyDescent="0.2"/>
    <row r="70" spans="1:6" ht="14.25" customHeight="1" x14ac:dyDescent="0.2">
      <c r="A70" s="80"/>
      <c r="B70" s="80" t="s">
        <v>130</v>
      </c>
    </row>
    <row r="71" spans="1:6" ht="14.25" customHeight="1" x14ac:dyDescent="0.2">
      <c r="A71" s="80"/>
      <c r="B71" s="80" t="s">
        <v>133</v>
      </c>
    </row>
    <row r="72" spans="1:6" ht="14.25" customHeight="1" x14ac:dyDescent="0.2">
      <c r="A72" s="80" t="s">
        <v>136</v>
      </c>
      <c r="B72" s="80">
        <f>D29</f>
        <v>2548855.7309728083</v>
      </c>
    </row>
    <row r="73" spans="1:6" ht="14.25" customHeight="1" x14ac:dyDescent="0.2">
      <c r="A73" s="80" t="s">
        <v>138</v>
      </c>
      <c r="B73" s="80">
        <f>E2</f>
        <v>2759275.5990214124</v>
      </c>
    </row>
    <row r="74" spans="1:6" ht="14.25" customHeight="1" x14ac:dyDescent="0.2">
      <c r="A74" s="80"/>
      <c r="B74" s="77">
        <f>B72/B73</f>
        <v>0.92374090209646675</v>
      </c>
    </row>
    <row r="75" spans="1:6" ht="14.25" customHeight="1" x14ac:dyDescent="0.2"/>
    <row r="76" spans="1:6" ht="14.25" customHeight="1" x14ac:dyDescent="0.2">
      <c r="A76" s="80"/>
      <c r="B76" s="80" t="s">
        <v>142</v>
      </c>
      <c r="C76" s="80"/>
    </row>
    <row r="77" spans="1:6" ht="14.25" customHeight="1" x14ac:dyDescent="0.2">
      <c r="A77" s="80"/>
      <c r="B77" s="80" t="s">
        <v>144</v>
      </c>
      <c r="C77" s="80"/>
    </row>
    <row r="78" spans="1:6" ht="14.25" customHeight="1" x14ac:dyDescent="0.2">
      <c r="A78" s="80" t="s">
        <v>146</v>
      </c>
      <c r="B78" s="80">
        <f>G43</f>
        <v>2631712.36745915</v>
      </c>
      <c r="C78" s="80"/>
    </row>
    <row r="79" spans="1:6" ht="14.25" customHeight="1" x14ac:dyDescent="0.2">
      <c r="A79" s="80" t="s">
        <v>33</v>
      </c>
      <c r="B79" s="80">
        <f>B43</f>
        <v>7112552.9183066543</v>
      </c>
      <c r="C79" s="80"/>
    </row>
    <row r="80" spans="1:6" ht="14.25" customHeight="1" x14ac:dyDescent="0.2">
      <c r="A80" s="80"/>
      <c r="B80" s="77">
        <f>B78/B79</f>
        <v>0.37000953071090881</v>
      </c>
      <c r="C80" s="80"/>
    </row>
    <row r="81" spans="1:5" ht="14.25" customHeight="1" x14ac:dyDescent="0.2"/>
    <row r="82" spans="1:5" ht="14.25" customHeight="1" x14ac:dyDescent="0.2"/>
    <row r="83" spans="1:5" ht="14.25" customHeight="1" x14ac:dyDescent="0.2"/>
    <row r="84" spans="1:5" ht="14.25" customHeight="1" x14ac:dyDescent="0.2"/>
    <row r="85" spans="1:5" ht="14.25" customHeight="1" x14ac:dyDescent="0.2"/>
    <row r="86" spans="1:5" ht="14.25" customHeight="1" x14ac:dyDescent="0.2"/>
    <row r="87" spans="1:5" ht="14.25" customHeight="1" x14ac:dyDescent="0.2"/>
    <row r="88" spans="1:5" ht="14.25" customHeight="1" x14ac:dyDescent="0.2"/>
    <row r="89" spans="1:5" ht="14.25" customHeight="1" x14ac:dyDescent="0.2"/>
    <row r="90" spans="1:5" ht="14.25" customHeight="1" x14ac:dyDescent="0.2">
      <c r="A90" s="8">
        <f>A91-B109</f>
        <v>2090275.5990214124</v>
      </c>
    </row>
    <row r="91" spans="1:5" ht="14.25" customHeight="1" x14ac:dyDescent="0.2">
      <c r="A91" s="96">
        <f>E2</f>
        <v>2759275.5990214124</v>
      </c>
    </row>
    <row r="92" spans="1:5" ht="14.25" customHeight="1" x14ac:dyDescent="0.2">
      <c r="B92" s="20" t="s">
        <v>24</v>
      </c>
      <c r="C92" s="20" t="s">
        <v>25</v>
      </c>
      <c r="D92" s="20" t="s">
        <v>26</v>
      </c>
    </row>
    <row r="93" spans="1:5" ht="14.25" customHeight="1" x14ac:dyDescent="0.2">
      <c r="B93" s="22" t="s">
        <v>31</v>
      </c>
      <c r="C93" s="23">
        <f>IF(A90&gt;=150000,150000,0)</f>
        <v>150000</v>
      </c>
      <c r="D93" s="24">
        <v>0</v>
      </c>
      <c r="E93" s="25">
        <f t="shared" ref="E93:E100" si="5">C93*D93</f>
        <v>0</v>
      </c>
    </row>
    <row r="94" spans="1:5" ht="14.25" customHeight="1" x14ac:dyDescent="0.2">
      <c r="A94" s="27"/>
      <c r="B94" s="22" t="s">
        <v>37</v>
      </c>
      <c r="C94" s="23">
        <f>IF((A90-C93)&gt;=150000,150000,(A90-C93))</f>
        <v>150000</v>
      </c>
      <c r="D94" s="24">
        <v>0.05</v>
      </c>
      <c r="E94" s="25">
        <f t="shared" si="5"/>
        <v>7500</v>
      </c>
    </row>
    <row r="95" spans="1:5" ht="14.25" customHeight="1" x14ac:dyDescent="0.2">
      <c r="B95" s="22" t="s">
        <v>46</v>
      </c>
      <c r="C95" s="23">
        <f>IF((A90-C93-C94)&gt;=200000,200000,(A90-C93-C94))</f>
        <v>200000</v>
      </c>
      <c r="D95" s="24">
        <v>0.1</v>
      </c>
      <c r="E95" s="25">
        <f t="shared" si="5"/>
        <v>20000</v>
      </c>
    </row>
    <row r="96" spans="1:5" ht="14.25" customHeight="1" x14ac:dyDescent="0.2">
      <c r="B96" s="22" t="s">
        <v>52</v>
      </c>
      <c r="C96" s="23">
        <f>IF((A90-C93-C94-C95)&gt;=250000,250000,(A90-C93-C94-C95))</f>
        <v>250000</v>
      </c>
      <c r="D96" s="24">
        <v>0.15</v>
      </c>
      <c r="E96" s="25">
        <f t="shared" si="5"/>
        <v>37500</v>
      </c>
    </row>
    <row r="97" spans="1:5" ht="14.25" customHeight="1" x14ac:dyDescent="0.2">
      <c r="A97" s="34"/>
      <c r="B97" s="22" t="s">
        <v>56</v>
      </c>
      <c r="C97" s="23">
        <f>IF((A90-C93-C94-C95-C96)&gt;=250000,250000,(A90-C93-C94-C95-C96))</f>
        <v>250000</v>
      </c>
      <c r="D97" s="24">
        <v>0.2</v>
      </c>
      <c r="E97" s="25">
        <f t="shared" si="5"/>
        <v>50000</v>
      </c>
    </row>
    <row r="98" spans="1:5" ht="14.25" customHeight="1" x14ac:dyDescent="0.2">
      <c r="B98" s="22" t="s">
        <v>59</v>
      </c>
      <c r="C98" s="23">
        <f>IF((A90-C93-C94-C95-C96-C97)&gt;=1000000,1000000,(A90-C93-C94-C95-C96-C97))</f>
        <v>1000000</v>
      </c>
      <c r="D98" s="24">
        <v>0.25</v>
      </c>
      <c r="E98" s="25">
        <f t="shared" si="5"/>
        <v>250000</v>
      </c>
    </row>
    <row r="99" spans="1:5" ht="14.25" customHeight="1" x14ac:dyDescent="0.2">
      <c r="B99" s="22" t="s">
        <v>63</v>
      </c>
      <c r="C99" s="23">
        <f>IF((A90-C93-C94-C95-C96-C97-C98)&gt;=3000000,3000000,(A90-C93-C94-C95-C96-C97-C98))</f>
        <v>90275.599021412432</v>
      </c>
      <c r="D99" s="24">
        <v>0.3</v>
      </c>
      <c r="E99" s="25">
        <f t="shared" si="5"/>
        <v>27082.679706423729</v>
      </c>
    </row>
    <row r="100" spans="1:5" ht="14.25" customHeight="1" x14ac:dyDescent="0.2">
      <c r="B100" s="22" t="s">
        <v>66</v>
      </c>
      <c r="C100" s="23">
        <f>A90-C93-C94-C95-C96-C97-C98-C99</f>
        <v>0</v>
      </c>
      <c r="D100" s="24">
        <v>0.35</v>
      </c>
      <c r="E100" s="25">
        <f t="shared" si="5"/>
        <v>0</v>
      </c>
    </row>
    <row r="101" spans="1:5" ht="14.25" customHeight="1" x14ac:dyDescent="0.35">
      <c r="E101" s="97">
        <f>SUM(E93:E100)</f>
        <v>392082.67970642372</v>
      </c>
    </row>
    <row r="102" spans="1:5" ht="14.25" customHeight="1" x14ac:dyDescent="0.2"/>
    <row r="103" spans="1:5" ht="14.25" customHeight="1" x14ac:dyDescent="0.2">
      <c r="A103" s="101" t="s">
        <v>75</v>
      </c>
      <c r="B103" s="102"/>
    </row>
    <row r="104" spans="1:5" ht="14.25" customHeight="1" x14ac:dyDescent="0.2">
      <c r="A104" s="19" t="s">
        <v>78</v>
      </c>
      <c r="B104" s="37">
        <v>100000</v>
      </c>
    </row>
    <row r="105" spans="1:5" ht="14.25" customHeight="1" x14ac:dyDescent="0.2">
      <c r="A105" s="19" t="s">
        <v>80</v>
      </c>
      <c r="B105" s="37">
        <v>60000</v>
      </c>
    </row>
    <row r="106" spans="1:5" ht="14.25" customHeight="1" x14ac:dyDescent="0.2">
      <c r="A106" s="19" t="s">
        <v>83</v>
      </c>
      <c r="B106" s="37">
        <v>9000</v>
      </c>
    </row>
    <row r="107" spans="1:5" ht="14.25" customHeight="1" x14ac:dyDescent="0.2">
      <c r="A107" s="19" t="s">
        <v>211</v>
      </c>
      <c r="B107" s="19">
        <f>DATA!E146</f>
        <v>200000</v>
      </c>
    </row>
    <row r="108" spans="1:5" ht="14.25" customHeight="1" x14ac:dyDescent="0.2">
      <c r="A108" s="19" t="s">
        <v>212</v>
      </c>
      <c r="B108" s="19">
        <f>DATA!F146</f>
        <v>300000</v>
      </c>
    </row>
    <row r="109" spans="1:5" ht="14.25" customHeight="1" x14ac:dyDescent="0.2">
      <c r="B109" s="45">
        <f>SUM(B104:B108)</f>
        <v>669000</v>
      </c>
    </row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03:B103"/>
  </mergeCells>
  <conditionalFormatting sqref="B32">
    <cfRule type="cellIs" dxfId="18" priority="1" operator="greaterThan">
      <formula>0.9999999999</formula>
    </cfRule>
    <cfRule type="cellIs" dxfId="17" priority="2" operator="lessThan">
      <formula>1</formula>
    </cfRule>
  </conditionalFormatting>
  <conditionalFormatting sqref="B38">
    <cfRule type="cellIs" dxfId="16" priority="3" operator="greaterThan">
      <formula>5.9999</formula>
    </cfRule>
    <cfRule type="cellIs" dxfId="15" priority="4" operator="lessThan">
      <formula>3</formula>
    </cfRule>
  </conditionalFormatting>
  <conditionalFormatting sqref="B44">
    <cfRule type="cellIs" dxfId="14" priority="5" operator="greaterThan">
      <formula>0.29</formula>
    </cfRule>
    <cfRule type="cellIs" dxfId="13" priority="6" operator="lessThan">
      <formula>0.05</formula>
    </cfRule>
    <cfRule type="cellIs" dxfId="12" priority="7" operator="greaterThan">
      <formula>0.049</formula>
    </cfRule>
  </conditionalFormatting>
  <conditionalFormatting sqref="B50">
    <cfRule type="cellIs" dxfId="11" priority="8" operator="greaterThan">
      <formula>0.49</formula>
    </cfRule>
    <cfRule type="cellIs" dxfId="10" priority="9" operator="lessThan">
      <formula>0.41</formula>
    </cfRule>
  </conditionalFormatting>
  <conditionalFormatting sqref="B56">
    <cfRule type="cellIs" dxfId="9" priority="10" operator="lessThan">
      <formula>0.41</formula>
    </cfRule>
    <cfRule type="cellIs" dxfId="8" priority="11" operator="greaterThan">
      <formula>0.59</formula>
    </cfRule>
  </conditionalFormatting>
  <conditionalFormatting sqref="B62">
    <cfRule type="cellIs" dxfId="7" priority="12" operator="greaterThan">
      <formula>0.39</formula>
    </cfRule>
    <cfRule type="cellIs" dxfId="6" priority="13" operator="lessThan">
      <formula>0.281</formula>
    </cfRule>
  </conditionalFormatting>
  <conditionalFormatting sqref="B68">
    <cfRule type="cellIs" dxfId="5" priority="14" operator="greaterThan">
      <formula>0.39</formula>
    </cfRule>
    <cfRule type="cellIs" dxfId="4" priority="15" operator="lessThan">
      <formula>0.281</formula>
    </cfRule>
  </conditionalFormatting>
  <conditionalFormatting sqref="B74">
    <cfRule type="cellIs" dxfId="3" priority="16" operator="lessThan">
      <formula>0.1</formula>
    </cfRule>
    <cfRule type="cellIs" dxfId="2" priority="17" operator="greaterThan">
      <formula>0.19</formula>
    </cfRule>
  </conditionalFormatting>
  <conditionalFormatting sqref="B80">
    <cfRule type="cellIs" dxfId="1" priority="18" operator="lessThan">
      <formula>0.3</formula>
    </cfRule>
    <cfRule type="cellIs" dxfId="0" priority="19" operator="greaterThan">
      <formula>0.49</formula>
    </cfRule>
  </conditionalFormatting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F1000"/>
  <sheetViews>
    <sheetView workbookViewId="0"/>
  </sheetViews>
  <sheetFormatPr defaultColWidth="12.625" defaultRowHeight="15" customHeight="1" x14ac:dyDescent="0.2"/>
  <cols>
    <col min="1" max="1" width="10.625" customWidth="1"/>
    <col min="2" max="2" width="15.75" customWidth="1"/>
    <col min="3" max="16" width="11.375" customWidth="1"/>
    <col min="17" max="32" width="8.75" customWidth="1"/>
    <col min="33" max="37" width="14.375" customWidth="1"/>
  </cols>
  <sheetData>
    <row r="1" spans="1:32" ht="14.25" customHeight="1" x14ac:dyDescent="0.2"/>
    <row r="2" spans="1:32" ht="14.25" customHeight="1" x14ac:dyDescent="0.2"/>
    <row r="3" spans="1:32" ht="14.25" customHeight="1" x14ac:dyDescent="0.2">
      <c r="U3" s="80" t="s">
        <v>92</v>
      </c>
      <c r="AF3" s="80" t="s">
        <v>133</v>
      </c>
    </row>
    <row r="4" spans="1:32" ht="14.25" customHeight="1" x14ac:dyDescent="0.2">
      <c r="B4" s="1" t="s">
        <v>261</v>
      </c>
      <c r="K4" s="80" t="s">
        <v>19</v>
      </c>
      <c r="T4" s="1">
        <v>1</v>
      </c>
      <c r="U4" s="77">
        <f>'1'!B50</f>
        <v>4.6636436383035482</v>
      </c>
      <c r="AE4" s="1">
        <v>1</v>
      </c>
      <c r="AF4" s="77">
        <f>'1'!B74</f>
        <v>0.18154963680387409</v>
      </c>
    </row>
    <row r="5" spans="1:32" ht="14.25" customHeight="1" x14ac:dyDescent="0.2">
      <c r="A5" s="1">
        <v>1</v>
      </c>
      <c r="B5" s="11">
        <f>'1'!C26</f>
        <v>405624</v>
      </c>
      <c r="J5" s="1">
        <v>1</v>
      </c>
      <c r="K5" s="100">
        <f>'1'!B32</f>
        <v>15.620833333333334</v>
      </c>
      <c r="T5" s="1">
        <v>2</v>
      </c>
      <c r="U5" s="77">
        <f>'2'!B50</f>
        <v>1.2602668310252887</v>
      </c>
      <c r="AE5" s="1">
        <v>2</v>
      </c>
      <c r="AF5" s="77">
        <f>'2'!B74</f>
        <v>0.53621660863215337</v>
      </c>
    </row>
    <row r="6" spans="1:32" ht="14.25" customHeight="1" x14ac:dyDescent="0.2">
      <c r="A6" s="1">
        <v>2</v>
      </c>
      <c r="B6" s="11">
        <f>'2'!C26</f>
        <v>281968.40000000002</v>
      </c>
      <c r="J6" s="1">
        <v>2</v>
      </c>
      <c r="K6" s="100">
        <f>'2'!B32</f>
        <v>20.850998236489716</v>
      </c>
      <c r="T6" s="1">
        <v>3</v>
      </c>
      <c r="U6" s="32">
        <f>'3'!B50</f>
        <v>0.7177851931715663</v>
      </c>
      <c r="AE6" s="1">
        <v>3</v>
      </c>
      <c r="AF6" s="77">
        <f>'3'!B74</f>
        <v>0.84131459958748089</v>
      </c>
    </row>
    <row r="7" spans="1:32" ht="14.25" customHeight="1" x14ac:dyDescent="0.2">
      <c r="A7" s="1">
        <v>3</v>
      </c>
      <c r="B7" s="11">
        <f>'3'!C26</f>
        <v>318584.30000000005</v>
      </c>
      <c r="J7" s="1">
        <v>3</v>
      </c>
      <c r="K7" s="100">
        <f>'3'!B32</f>
        <v>30.230261988373314</v>
      </c>
      <c r="T7" s="1">
        <v>4</v>
      </c>
      <c r="U7" s="77">
        <f>'4'!B50</f>
        <v>0.50895172307453596</v>
      </c>
      <c r="AE7" s="1">
        <v>4</v>
      </c>
      <c r="AF7" s="77">
        <f>'4'!B74</f>
        <v>0.97186688293366552</v>
      </c>
    </row>
    <row r="8" spans="1:32" ht="14.25" customHeight="1" x14ac:dyDescent="0.2">
      <c r="A8" s="1">
        <v>4</v>
      </c>
      <c r="B8" s="11">
        <f>'4'!C26</f>
        <v>384918.44</v>
      </c>
      <c r="J8" s="1">
        <v>4</v>
      </c>
      <c r="K8" s="100">
        <f>'4'!B32</f>
        <v>33.166397081334644</v>
      </c>
      <c r="T8" s="1">
        <v>5</v>
      </c>
      <c r="U8" s="77">
        <f>'5'!B50</f>
        <v>0.38061423735811212</v>
      </c>
      <c r="AE8" s="1">
        <v>5</v>
      </c>
      <c r="AF8" s="77">
        <f>'5'!B74</f>
        <v>1.0907982745838385</v>
      </c>
    </row>
    <row r="9" spans="1:32" ht="14.25" customHeight="1" x14ac:dyDescent="0.2">
      <c r="A9" s="1">
        <v>5</v>
      </c>
      <c r="B9" s="11">
        <f>'5'!C26</f>
        <v>413252.18150000001</v>
      </c>
      <c r="J9" s="1">
        <v>5</v>
      </c>
      <c r="K9" s="100">
        <f>'5'!B32</f>
        <v>35.808288470770293</v>
      </c>
      <c r="T9" s="1">
        <v>6</v>
      </c>
      <c r="U9" s="77">
        <f>'6'!B50</f>
        <v>0.2873460370854945</v>
      </c>
      <c r="AE9" s="1">
        <v>6</v>
      </c>
      <c r="AF9" s="77">
        <f>'6'!B74</f>
        <v>1.2029839524845058</v>
      </c>
    </row>
    <row r="10" spans="1:32" ht="14.25" customHeight="1" x14ac:dyDescent="0.2">
      <c r="A10" s="1">
        <v>6</v>
      </c>
      <c r="B10" s="11">
        <f>'6'!C26</f>
        <v>417825.77802500001</v>
      </c>
      <c r="J10" s="1">
        <v>6</v>
      </c>
      <c r="K10" s="100">
        <f>'6'!B32</f>
        <v>38.385993378994392</v>
      </c>
      <c r="T10" s="1">
        <v>7</v>
      </c>
      <c r="U10" s="77">
        <f>'7'!B50</f>
        <v>0.631905320842295</v>
      </c>
      <c r="AE10" s="1">
        <v>7</v>
      </c>
      <c r="AF10" s="77">
        <f>'7'!B74</f>
        <v>0.82665666621764944</v>
      </c>
    </row>
    <row r="11" spans="1:32" ht="14.25" customHeight="1" x14ac:dyDescent="0.2">
      <c r="A11" s="1">
        <v>7</v>
      </c>
      <c r="B11" s="11">
        <f>'7'!C26</f>
        <v>580607.06376687507</v>
      </c>
      <c r="J11" s="1">
        <v>7</v>
      </c>
      <c r="K11" s="100">
        <f>'7'!B32</f>
        <v>3.426958133206325</v>
      </c>
      <c r="T11" s="1">
        <v>8</v>
      </c>
      <c r="U11" s="77">
        <f>'8'!B50</f>
        <v>0.50462791804278984</v>
      </c>
      <c r="AE11" s="1">
        <v>8</v>
      </c>
      <c r="AF11" s="77">
        <f>'8'!B74</f>
        <v>0.88940480268590583</v>
      </c>
    </row>
    <row r="12" spans="1:32" ht="14.25" customHeight="1" x14ac:dyDescent="0.2">
      <c r="A12" s="1">
        <v>8</v>
      </c>
      <c r="B12" s="11">
        <f>'8'!C26</f>
        <v>596323.39600821876</v>
      </c>
      <c r="J12" s="1">
        <v>8</v>
      </c>
      <c r="K12" s="100">
        <f>'8'!B32</f>
        <v>3.9559823030451184</v>
      </c>
      <c r="T12" s="1">
        <v>9</v>
      </c>
      <c r="U12" s="77">
        <f>'9'!B50</f>
        <v>0.3916616544755977</v>
      </c>
      <c r="AE12" s="1">
        <v>9</v>
      </c>
      <c r="AF12" s="77">
        <f>'9'!B74</f>
        <v>0.94882492708615196</v>
      </c>
    </row>
    <row r="13" spans="1:32" ht="14.25" customHeight="1" x14ac:dyDescent="0.2">
      <c r="A13" s="1">
        <v>9</v>
      </c>
      <c r="B13" s="11">
        <f>'9'!C26</f>
        <v>647694.16467222967</v>
      </c>
      <c r="J13" s="1">
        <v>9</v>
      </c>
      <c r="K13" s="100">
        <f>'9'!B32</f>
        <v>4.5489314918311763</v>
      </c>
      <c r="T13" s="1">
        <v>10</v>
      </c>
      <c r="U13" s="77">
        <f>'10'!B50</f>
        <v>0.85293331155107555</v>
      </c>
      <c r="AE13" s="1">
        <v>10</v>
      </c>
      <c r="AF13" s="77">
        <f>'10'!B74</f>
        <v>1.2228158253211961E-2</v>
      </c>
    </row>
    <row r="14" spans="1:32" ht="14.25" customHeight="1" x14ac:dyDescent="0.2">
      <c r="A14" s="1">
        <v>10</v>
      </c>
      <c r="B14" s="11">
        <f>'10'!C26</f>
        <v>838474.03718210559</v>
      </c>
      <c r="J14" s="1">
        <v>10</v>
      </c>
      <c r="K14" s="100">
        <f>'10'!B32</f>
        <v>3.2263867913590795E-2</v>
      </c>
      <c r="T14" s="1">
        <v>11</v>
      </c>
      <c r="U14" s="77">
        <f>'11'!B50</f>
        <v>0.76899250211423131</v>
      </c>
      <c r="AE14" s="1">
        <v>11</v>
      </c>
      <c r="AF14" s="77">
        <f>'11'!B74</f>
        <v>0.17225026709154581</v>
      </c>
    </row>
    <row r="15" spans="1:32" ht="14.25" customHeight="1" x14ac:dyDescent="0.2">
      <c r="A15" s="1">
        <v>11</v>
      </c>
      <c r="B15" s="11">
        <f>'11'!C26</f>
        <v>855875.86460611201</v>
      </c>
      <c r="J15" s="1">
        <v>11</v>
      </c>
      <c r="K15" s="100">
        <f>'11'!B32</f>
        <v>0.53473830605110262</v>
      </c>
      <c r="T15" s="1">
        <v>12</v>
      </c>
      <c r="U15" s="77">
        <f>'12'!B50</f>
        <v>0.67900101565346649</v>
      </c>
      <c r="AE15" s="1">
        <v>12</v>
      </c>
      <c r="AF15" s="77">
        <f>'12'!B74</f>
        <v>0.33115728496133467</v>
      </c>
    </row>
    <row r="16" spans="1:32" ht="14.25" customHeight="1" x14ac:dyDescent="0.2">
      <c r="A16" s="1">
        <v>12</v>
      </c>
      <c r="B16" s="11">
        <f>'12'!C26</f>
        <v>958115.55867955287</v>
      </c>
      <c r="J16" s="1">
        <v>12</v>
      </c>
      <c r="K16" s="100">
        <f>'12'!B32</f>
        <v>1.2349204645157339</v>
      </c>
      <c r="T16" s="1">
        <v>13</v>
      </c>
      <c r="U16" s="77">
        <f>'13'!B50</f>
        <v>0.58596011759571864</v>
      </c>
      <c r="AE16" s="1">
        <v>13</v>
      </c>
      <c r="AF16" s="77">
        <f>'13'!B74</f>
        <v>0.48402321558840905</v>
      </c>
    </row>
    <row r="17" spans="1:32" ht="14.25" customHeight="1" x14ac:dyDescent="0.2">
      <c r="A17" s="1">
        <v>13</v>
      </c>
      <c r="B17" s="11">
        <f>'13'!C26</f>
        <v>1111484.8501277203</v>
      </c>
      <c r="J17" s="1">
        <v>13</v>
      </c>
      <c r="K17" s="100">
        <f>'13'!B32</f>
        <v>2.213528429225248</v>
      </c>
      <c r="T17" s="1">
        <v>14</v>
      </c>
      <c r="U17" s="77">
        <f>'14'!B50</f>
        <v>0.47651750081447869</v>
      </c>
      <c r="AE17" s="1">
        <v>14</v>
      </c>
      <c r="AF17" s="77">
        <f>'14'!B74</f>
        <v>0.71651223954739041</v>
      </c>
    </row>
    <row r="18" spans="1:32" ht="14.25" customHeight="1" x14ac:dyDescent="0.2">
      <c r="A18" s="1">
        <v>14</v>
      </c>
      <c r="B18" s="11">
        <f>'14'!C26</f>
        <v>1001442.0740414208</v>
      </c>
      <c r="J18" s="1">
        <v>14</v>
      </c>
      <c r="K18" s="100">
        <f>'14'!B32</f>
        <v>6.8433067316501575</v>
      </c>
      <c r="T18" s="1">
        <v>15</v>
      </c>
      <c r="U18" s="77">
        <f>'15'!B50</f>
        <v>0.38711265075467116</v>
      </c>
      <c r="AE18" s="1">
        <v>15</v>
      </c>
      <c r="AF18" s="77">
        <f>'15'!B74</f>
        <v>0.92374090209646675</v>
      </c>
    </row>
    <row r="19" spans="1:32" ht="14.25" customHeight="1" x14ac:dyDescent="0.2">
      <c r="A19" s="1">
        <v>15</v>
      </c>
      <c r="B19" s="11">
        <f>'15'!C26</f>
        <v>1141660.6836813632</v>
      </c>
      <c r="J19" s="1">
        <v>15</v>
      </c>
      <c r="K19" s="100">
        <f>'15'!B32</f>
        <v>11.174290603049883</v>
      </c>
    </row>
    <row r="20" spans="1:32" ht="14.25" customHeight="1" x14ac:dyDescent="0.2"/>
    <row r="21" spans="1:32" ht="14.25" customHeight="1" x14ac:dyDescent="0.2"/>
    <row r="22" spans="1:32" ht="14.25" customHeight="1" x14ac:dyDescent="0.2">
      <c r="B22" s="1" t="s">
        <v>138</v>
      </c>
      <c r="K22" s="80" t="s">
        <v>54</v>
      </c>
      <c r="U22" s="80" t="s">
        <v>27</v>
      </c>
      <c r="AF22" s="80" t="s">
        <v>144</v>
      </c>
    </row>
    <row r="23" spans="1:32" ht="14.25" customHeight="1" x14ac:dyDescent="0.2">
      <c r="A23" s="1">
        <v>1</v>
      </c>
      <c r="B23" s="11">
        <f>'1'!E2</f>
        <v>495600</v>
      </c>
      <c r="J23" s="1">
        <v>1</v>
      </c>
      <c r="K23" s="100">
        <f>'1'!B38</f>
        <v>2.6618543281462634</v>
      </c>
      <c r="T23" s="1">
        <v>1</v>
      </c>
      <c r="U23" s="77">
        <f>'1'!B56</f>
        <v>-3.6636436383035482</v>
      </c>
      <c r="AE23" s="1">
        <v>1</v>
      </c>
      <c r="AF23" s="77">
        <f>'1'!B80</f>
        <v>0</v>
      </c>
    </row>
    <row r="24" spans="1:32" ht="14.25" customHeight="1" x14ac:dyDescent="0.2">
      <c r="A24" s="1">
        <v>2</v>
      </c>
      <c r="B24" s="11">
        <f>'2'!E2</f>
        <v>520380</v>
      </c>
      <c r="J24" s="1">
        <v>2</v>
      </c>
      <c r="K24" s="100">
        <f>'2'!B38</f>
        <v>11.875220009050658</v>
      </c>
      <c r="T24" s="1">
        <v>2</v>
      </c>
      <c r="U24" s="77">
        <f>'2'!B56</f>
        <v>-0.26026683102528869</v>
      </c>
      <c r="AE24" s="1">
        <v>2</v>
      </c>
      <c r="AF24" s="77">
        <f>'2'!B80</f>
        <v>-0.57742044077109145</v>
      </c>
    </row>
    <row r="25" spans="1:32" ht="14.25" customHeight="1" x14ac:dyDescent="0.2">
      <c r="A25" s="1">
        <v>3</v>
      </c>
      <c r="B25" s="11">
        <f>'3'!E2</f>
        <v>546399</v>
      </c>
      <c r="J25" s="1">
        <v>3</v>
      </c>
      <c r="K25" s="100">
        <f>'3'!B38</f>
        <v>17.31510771497528</v>
      </c>
      <c r="T25" s="1">
        <v>3</v>
      </c>
      <c r="U25" s="32">
        <f>'3'!B56</f>
        <v>0.2822148068284337</v>
      </c>
      <c r="AE25" s="1">
        <v>3</v>
      </c>
      <c r="AF25" s="77">
        <f>'3'!B80</f>
        <v>0.62389582554467959</v>
      </c>
    </row>
    <row r="26" spans="1:32" ht="14.25" customHeight="1" x14ac:dyDescent="0.2">
      <c r="A26" s="1">
        <v>4</v>
      </c>
      <c r="B26" s="11">
        <f>'4'!E2</f>
        <v>580532.4</v>
      </c>
      <c r="J26" s="1">
        <v>4</v>
      </c>
      <c r="K26" s="100">
        <f>'4'!B38</f>
        <v>17.58918738307263</v>
      </c>
      <c r="T26" s="1">
        <v>4</v>
      </c>
      <c r="U26" s="77">
        <f>'4'!B56</f>
        <v>0.49104827692546404</v>
      </c>
      <c r="AE26" s="1">
        <v>4</v>
      </c>
      <c r="AF26" s="77">
        <f>'4'!B80</f>
        <v>0.51862798518111752</v>
      </c>
    </row>
    <row r="27" spans="1:32" ht="14.25" customHeight="1" x14ac:dyDescent="0.2">
      <c r="A27" s="1">
        <v>5</v>
      </c>
      <c r="B27" s="11">
        <f>'5'!E2</f>
        <v>617053.81499999994</v>
      </c>
      <c r="J27" s="1">
        <v>5</v>
      </c>
      <c r="K27" s="100">
        <f>'5'!B38</f>
        <v>19.544905513653045</v>
      </c>
      <c r="T27" s="1">
        <v>5</v>
      </c>
      <c r="U27" s="77">
        <f>'5'!B56</f>
        <v>0.61938576264188794</v>
      </c>
      <c r="AE27" s="1">
        <v>5</v>
      </c>
      <c r="AF27" s="77">
        <f>'5'!B80</f>
        <v>0.4913431476346859</v>
      </c>
    </row>
    <row r="28" spans="1:32" ht="14.25" customHeight="1" x14ac:dyDescent="0.2">
      <c r="A28" s="1">
        <v>6</v>
      </c>
      <c r="B28" s="11">
        <f>'6'!E2</f>
        <v>656150.78025000007</v>
      </c>
      <c r="J28" s="1">
        <v>6</v>
      </c>
      <c r="K28" s="100">
        <f>'6'!B38</f>
        <v>22.669894503360446</v>
      </c>
      <c r="T28" s="1">
        <v>6</v>
      </c>
      <c r="U28" s="77">
        <f>'6'!B56</f>
        <v>0.71265396291450545</v>
      </c>
      <c r="AE28" s="1">
        <v>6</v>
      </c>
      <c r="AF28" s="77">
        <f>'6'!B80</f>
        <v>0.49246744015928623</v>
      </c>
    </row>
    <row r="29" spans="1:32" ht="14.25" customHeight="1" x14ac:dyDescent="0.2">
      <c r="A29" s="1">
        <v>7</v>
      </c>
      <c r="B29" s="11">
        <f>'7'!E2</f>
        <v>716164.42511250009</v>
      </c>
      <c r="J29" s="1">
        <v>7</v>
      </c>
      <c r="K29" s="100">
        <f>'7'!B38</f>
        <v>12.235926148460784</v>
      </c>
      <c r="T29" s="1">
        <v>7</v>
      </c>
      <c r="U29" s="77">
        <f>'7'!B56</f>
        <v>0.368094679157705</v>
      </c>
      <c r="AE29" s="1">
        <v>7</v>
      </c>
      <c r="AF29" s="77">
        <f>'7'!B80</f>
        <v>0.62235598395103853</v>
      </c>
    </row>
    <row r="30" spans="1:32" ht="14.25" customHeight="1" x14ac:dyDescent="0.2">
      <c r="A30" s="1">
        <v>8</v>
      </c>
      <c r="B30" s="11">
        <f>'8'!E2</f>
        <v>784619.97338812519</v>
      </c>
      <c r="J30" s="1">
        <v>8</v>
      </c>
      <c r="K30" s="100">
        <f>'8'!B38</f>
        <v>14.042946038060224</v>
      </c>
      <c r="T30" s="1">
        <v>8</v>
      </c>
      <c r="U30" s="77">
        <f>'8'!B56</f>
        <v>0.49537208195721011</v>
      </c>
      <c r="AE30" s="1">
        <v>8</v>
      </c>
      <c r="AF30" s="77">
        <f>'8'!B80</f>
        <v>0.50921568345203294</v>
      </c>
    </row>
    <row r="31" spans="1:32" ht="14.25" customHeight="1" x14ac:dyDescent="0.2">
      <c r="A31" s="1">
        <v>9</v>
      </c>
      <c r="B31" s="11">
        <f>'9'!E2</f>
        <v>863027.76448153146</v>
      </c>
      <c r="J31" s="1">
        <v>9</v>
      </c>
      <c r="K31" s="100">
        <f>'9'!B38</f>
        <v>15.171276204816296</v>
      </c>
      <c r="T31" s="1">
        <v>9</v>
      </c>
      <c r="U31" s="77">
        <f>'9'!B56</f>
        <v>0.60833834552440225</v>
      </c>
      <c r="AE31" s="1">
        <v>9</v>
      </c>
      <c r="AF31" s="77">
        <f>'9'!B80</f>
        <v>0.45144536664195206</v>
      </c>
    </row>
    <row r="32" spans="1:32" ht="14.25" customHeight="1" x14ac:dyDescent="0.2">
      <c r="A32" s="1">
        <v>10</v>
      </c>
      <c r="B32" s="11">
        <f>'10'!E2</f>
        <v>953191.30361440801</v>
      </c>
      <c r="J32" s="1">
        <v>10</v>
      </c>
      <c r="K32" s="100">
        <f>'10'!B38</f>
        <v>0.16681409688516199</v>
      </c>
      <c r="T32" s="1">
        <v>10</v>
      </c>
      <c r="U32" s="77">
        <f>'10'!B56</f>
        <v>0.14706668844892451</v>
      </c>
      <c r="AE32" s="1">
        <v>10</v>
      </c>
      <c r="AF32" s="77">
        <f>'10'!B80</f>
        <v>0.76286496897683154</v>
      </c>
    </row>
    <row r="33" spans="1:32" ht="14.25" customHeight="1" x14ac:dyDescent="0.2">
      <c r="A33" s="1">
        <v>11</v>
      </c>
      <c r="B33" s="88">
        <f>'11'!E2</f>
        <v>1132484.8913397684</v>
      </c>
      <c r="J33" s="1">
        <v>11</v>
      </c>
      <c r="K33" s="100">
        <f>'11'!B38</f>
        <v>2.735034362959027</v>
      </c>
      <c r="T33" s="1">
        <v>11</v>
      </c>
      <c r="U33" s="77">
        <f>'11'!B56</f>
        <v>0.23100749788576869</v>
      </c>
      <c r="AE33" s="1">
        <v>11</v>
      </c>
      <c r="AF33" s="77">
        <f>'11'!B80</f>
        <v>0.54401068387950746</v>
      </c>
    </row>
    <row r="34" spans="1:32" ht="14.25" customHeight="1" x14ac:dyDescent="0.2">
      <c r="A34" s="1">
        <v>12</v>
      </c>
      <c r="B34" s="88">
        <f>'12'!E2</f>
        <v>1373396.7674692529</v>
      </c>
      <c r="J34" s="1">
        <v>12</v>
      </c>
      <c r="K34" s="100">
        <f>'12'!B38</f>
        <v>5.6963109374814591</v>
      </c>
      <c r="T34" s="1">
        <v>12</v>
      </c>
      <c r="U34" s="77">
        <f>'12'!B56</f>
        <v>0.32099898434653351</v>
      </c>
      <c r="AE34" s="1">
        <v>12</v>
      </c>
      <c r="AF34" s="77">
        <f>'12'!B80</f>
        <v>0.44880205439930237</v>
      </c>
    </row>
    <row r="35" spans="1:32" ht="14.25" customHeight="1" x14ac:dyDescent="0.2">
      <c r="A35" s="1">
        <v>13</v>
      </c>
      <c r="B35" s="88">
        <f>'13'!E2</f>
        <v>1700069.29003021</v>
      </c>
      <c r="J35" s="1">
        <v>13</v>
      </c>
      <c r="K35" s="100">
        <f>'13'!B38</f>
        <v>8.8840401672300242</v>
      </c>
      <c r="T35" s="1">
        <v>13</v>
      </c>
      <c r="U35" s="77">
        <f>'13'!B56</f>
        <v>0.41403988240428136</v>
      </c>
      <c r="AE35" s="1">
        <v>13</v>
      </c>
      <c r="AF35" s="77">
        <f>'13'!B80</f>
        <v>0.39975130604944953</v>
      </c>
    </row>
    <row r="36" spans="1:32" ht="14.25" customHeight="1" x14ac:dyDescent="0.2">
      <c r="A36" s="1">
        <v>14</v>
      </c>
      <c r="B36" s="88">
        <f>'14'!E2</f>
        <v>2146276.5123942127</v>
      </c>
      <c r="J36" s="1">
        <v>14</v>
      </c>
      <c r="K36" s="100">
        <f>'14'!B38</f>
        <v>18.427426972914656</v>
      </c>
      <c r="T36" s="1">
        <v>14</v>
      </c>
      <c r="U36" s="77">
        <f>'14'!B56</f>
        <v>0.52348249918552126</v>
      </c>
      <c r="AE36" s="1">
        <v>14</v>
      </c>
      <c r="AF36" s="77">
        <f>'14'!B80</f>
        <v>0.37378450598788199</v>
      </c>
    </row>
    <row r="37" spans="1:32" ht="14.25" customHeight="1" x14ac:dyDescent="0.2">
      <c r="A37" s="1">
        <v>15</v>
      </c>
      <c r="B37" s="88">
        <f>'15'!E2</f>
        <v>2759275.5990214124</v>
      </c>
      <c r="J37" s="1">
        <v>15</v>
      </c>
      <c r="K37" s="100">
        <f>'15'!B38</f>
        <v>26.791032755061842</v>
      </c>
      <c r="T37" s="1">
        <v>15</v>
      </c>
      <c r="U37" s="77">
        <f>'15'!B56</f>
        <v>0.61288734924532884</v>
      </c>
      <c r="AE37" s="1">
        <v>15</v>
      </c>
      <c r="AF37" s="77">
        <f>'15'!B80</f>
        <v>0.37000953071090881</v>
      </c>
    </row>
    <row r="38" spans="1:32" ht="14.25" customHeight="1" x14ac:dyDescent="0.2"/>
    <row r="39" spans="1:32" ht="14.25" customHeight="1" x14ac:dyDescent="0.2"/>
    <row r="40" spans="1:32" ht="14.25" customHeight="1" x14ac:dyDescent="0.2">
      <c r="B40" s="1" t="s">
        <v>33</v>
      </c>
      <c r="K40" s="80" t="s">
        <v>71</v>
      </c>
      <c r="U40" s="80" t="s">
        <v>104</v>
      </c>
    </row>
    <row r="41" spans="1:32" ht="14.25" customHeight="1" x14ac:dyDescent="0.2">
      <c r="A41" s="1">
        <v>1</v>
      </c>
      <c r="B41" s="11">
        <f>'1'!F20</f>
        <v>-329640.00000000006</v>
      </c>
      <c r="J41" s="1">
        <v>1</v>
      </c>
      <c r="K41" s="77">
        <f>'1'!B44</f>
        <v>-0.27295231161266831</v>
      </c>
      <c r="T41" s="1">
        <v>1</v>
      </c>
      <c r="U41" s="32">
        <f>'1'!B62</f>
        <v>1.1622276029055689E-2</v>
      </c>
    </row>
    <row r="42" spans="1:32" ht="14.25" customHeight="1" x14ac:dyDescent="0.2">
      <c r="A42" s="1">
        <v>2</v>
      </c>
      <c r="B42" s="11">
        <f>'2'!F20</f>
        <v>-85468.400000000081</v>
      </c>
      <c r="J42" s="1">
        <v>2</v>
      </c>
      <c r="K42" s="32">
        <f>'2'!B44</f>
        <v>-3.2647902476236794</v>
      </c>
      <c r="T42" s="1">
        <v>2</v>
      </c>
      <c r="U42" s="32">
        <f>'2'!B62</f>
        <v>2.5716591721434336E-2</v>
      </c>
    </row>
    <row r="43" spans="1:32" ht="14.25" customHeight="1" x14ac:dyDescent="0.2">
      <c r="A43" s="1">
        <v>3</v>
      </c>
      <c r="B43" s="11">
        <f>'3'!F20</f>
        <v>157455.99204199982</v>
      </c>
      <c r="J43" s="1">
        <v>3</v>
      </c>
      <c r="K43" s="32">
        <f>'3'!B44</f>
        <v>2.9195043639709901</v>
      </c>
      <c r="T43" s="1">
        <v>3</v>
      </c>
      <c r="U43" s="32">
        <f>'3'!B62</f>
        <v>2.7830211987942877E-2</v>
      </c>
    </row>
    <row r="44" spans="1:32" ht="14.25" customHeight="1" x14ac:dyDescent="0.2">
      <c r="A44" s="1">
        <v>4</v>
      </c>
      <c r="B44" s="11">
        <f>'4'!F20</f>
        <v>371714.61680696986</v>
      </c>
      <c r="J44" s="1">
        <v>4</v>
      </c>
      <c r="K44" s="32">
        <f>'4'!B44</f>
        <v>1.5178316604186355</v>
      </c>
      <c r="T44" s="1">
        <v>4</v>
      </c>
      <c r="U44" s="32">
        <f>'4'!B62</f>
        <v>2.9302757262126972E-2</v>
      </c>
    </row>
    <row r="45" spans="1:32" ht="14.25" customHeight="1" x14ac:dyDescent="0.2">
      <c r="A45" s="1">
        <v>5</v>
      </c>
      <c r="B45" s="11">
        <f>'5'!F20</f>
        <v>599274.80640416383</v>
      </c>
      <c r="J45" s="1">
        <v>5</v>
      </c>
      <c r="K45" s="32">
        <f>'5'!B44</f>
        <v>1.1231595747634926</v>
      </c>
      <c r="T45" s="1">
        <v>5</v>
      </c>
      <c r="U45" s="32">
        <f>'5'!B62</f>
        <v>3.0462172898161242E-2</v>
      </c>
    </row>
    <row r="46" spans="1:32" ht="14.25" customHeight="1" x14ac:dyDescent="0.2">
      <c r="A46" s="1">
        <v>6</v>
      </c>
      <c r="B46" s="11">
        <f>'6'!F20</f>
        <v>866702.34356785135</v>
      </c>
      <c r="J46" s="1">
        <v>6</v>
      </c>
      <c r="K46" s="77">
        <f>'6'!B44</f>
        <v>0.91073811546598482</v>
      </c>
      <c r="T46" s="1">
        <v>6</v>
      </c>
      <c r="U46" s="32">
        <f>'6'!B62</f>
        <v>3.1339138226986814E-2</v>
      </c>
    </row>
    <row r="47" spans="1:32" ht="14.25" customHeight="1" x14ac:dyDescent="0.2">
      <c r="A47" s="1">
        <v>7</v>
      </c>
      <c r="B47" s="11">
        <f>'7'!F20</f>
        <v>805038.82812156854</v>
      </c>
      <c r="J47" s="1">
        <v>7</v>
      </c>
      <c r="K47" s="77">
        <f>'7'!B44</f>
        <v>0.73539570446380731</v>
      </c>
      <c r="T47" s="1">
        <v>7</v>
      </c>
      <c r="U47" s="32">
        <f>'7'!B62</f>
        <v>0.24122169985316225</v>
      </c>
    </row>
    <row r="48" spans="1:32" ht="14.25" customHeight="1" x14ac:dyDescent="0.2">
      <c r="A48" s="1">
        <v>8</v>
      </c>
      <c r="B48" s="11">
        <f>'8'!F20</f>
        <v>1187069.6617049417</v>
      </c>
      <c r="J48" s="1">
        <v>8</v>
      </c>
      <c r="K48" s="77">
        <f>'8'!B44</f>
        <v>0.58787179482996732</v>
      </c>
      <c r="T48" s="1">
        <v>8</v>
      </c>
      <c r="U48" s="32">
        <f>'8'!B62</f>
        <v>0.22482527335910635</v>
      </c>
    </row>
    <row r="49" spans="1:21" ht="14.25" customHeight="1" x14ac:dyDescent="0.2">
      <c r="A49" s="1">
        <v>9</v>
      </c>
      <c r="B49" s="11">
        <f>'9'!F20</f>
        <v>1604243.2279176787</v>
      </c>
      <c r="J49" s="1">
        <v>9</v>
      </c>
      <c r="K49" s="77">
        <f>'9'!B44</f>
        <v>0.51043522668966101</v>
      </c>
      <c r="T49" s="1">
        <v>9</v>
      </c>
      <c r="U49" s="32">
        <f>'9'!B62</f>
        <v>0.20858193375521722</v>
      </c>
    </row>
    <row r="50" spans="1:21" ht="14.25" customHeight="1" x14ac:dyDescent="0.2">
      <c r="A50" s="1">
        <v>10</v>
      </c>
      <c r="B50" s="11">
        <f>'10'!F20</f>
        <v>1066146.0393065307</v>
      </c>
      <c r="J50" s="1">
        <v>10</v>
      </c>
      <c r="K50" s="77">
        <f>'10'!B44</f>
        <v>1.0932624308920971E-2</v>
      </c>
      <c r="T50" s="1">
        <v>10</v>
      </c>
      <c r="U50" s="32">
        <f>'10'!B62</f>
        <v>0.37900472088348047</v>
      </c>
    </row>
    <row r="51" spans="1:21" ht="14.25" customHeight="1" x14ac:dyDescent="0.2">
      <c r="A51" s="1">
        <v>11</v>
      </c>
      <c r="B51" s="11">
        <f>'11'!F20</f>
        <v>1748943.6721245898</v>
      </c>
      <c r="J51" s="1">
        <v>11</v>
      </c>
      <c r="K51" s="77">
        <f>'11'!B44</f>
        <v>0.11153636799145528</v>
      </c>
      <c r="T51" s="1">
        <v>11</v>
      </c>
      <c r="U51" s="32">
        <f>'11'!B62</f>
        <v>0.32212068060649579</v>
      </c>
    </row>
    <row r="52" spans="1:21" ht="14.25" customHeight="1" x14ac:dyDescent="0.2">
      <c r="A52" s="1">
        <v>12</v>
      </c>
      <c r="B52" s="11">
        <f>'12'!F20</f>
        <v>2579900.6763167996</v>
      </c>
      <c r="J52" s="1">
        <v>12</v>
      </c>
      <c r="K52" s="77">
        <f>'12'!B44</f>
        <v>0.17628986606534877</v>
      </c>
      <c r="T52" s="1">
        <v>12</v>
      </c>
      <c r="U52" s="32">
        <f>'12'!B62</f>
        <v>0.26816082045510187</v>
      </c>
    </row>
    <row r="53" spans="1:21" ht="14.25" customHeight="1" x14ac:dyDescent="0.2">
      <c r="A53" s="1">
        <v>13</v>
      </c>
      <c r="B53" s="11">
        <f>'13'!F20</f>
        <v>3595825.9270884059</v>
      </c>
      <c r="J53" s="1">
        <v>13</v>
      </c>
      <c r="K53" s="77">
        <f>'13'!B44</f>
        <v>0.22884116783423342</v>
      </c>
      <c r="T53" s="1">
        <v>13</v>
      </c>
      <c r="U53" s="32">
        <f>'13'!B62</f>
        <v>0.21866591329835366</v>
      </c>
    </row>
    <row r="54" spans="1:21" ht="14.25" customHeight="1" x14ac:dyDescent="0.2">
      <c r="A54" s="1">
        <v>14</v>
      </c>
      <c r="B54" s="11">
        <f>'14'!F20</f>
        <v>5182077.7951247878</v>
      </c>
      <c r="J54" s="1">
        <v>14</v>
      </c>
      <c r="K54" s="77">
        <f>'14'!B44</f>
        <v>0.29675999693217797</v>
      </c>
      <c r="T54" s="1">
        <v>14</v>
      </c>
      <c r="U54" s="32">
        <f>'14'!B62</f>
        <v>0.10470263392309094</v>
      </c>
    </row>
    <row r="55" spans="1:21" ht="14.25" customHeight="1" x14ac:dyDescent="0.2">
      <c r="A55" s="1">
        <v>15</v>
      </c>
      <c r="B55" s="11">
        <f>'15'!F20</f>
        <v>7112552.9183066543</v>
      </c>
      <c r="J55" s="1">
        <v>15</v>
      </c>
      <c r="K55" s="77">
        <f>'15'!B44</f>
        <v>0.35836017815943871</v>
      </c>
      <c r="T55" s="1">
        <v>15</v>
      </c>
      <c r="U55" s="32">
        <f>'15'!B62</f>
        <v>8.2666625999895091E-2</v>
      </c>
    </row>
    <row r="56" spans="1:21" ht="14.25" customHeight="1" x14ac:dyDescent="0.2"/>
    <row r="57" spans="1:21" ht="14.25" customHeight="1" x14ac:dyDescent="0.2"/>
    <row r="58" spans="1:21" ht="14.25" customHeight="1" x14ac:dyDescent="0.2">
      <c r="B58" s="1" t="s">
        <v>251</v>
      </c>
      <c r="U58" s="80" t="s">
        <v>256</v>
      </c>
    </row>
    <row r="59" spans="1:21" ht="14.25" customHeight="1" x14ac:dyDescent="0.2">
      <c r="A59" s="1">
        <v>1</v>
      </c>
      <c r="B59" s="88">
        <f>'1'!E101</f>
        <v>10160</v>
      </c>
      <c r="T59" s="1">
        <v>1</v>
      </c>
      <c r="U59" s="32">
        <f>'1'!B68</f>
        <v>1.1622276029055689E-2</v>
      </c>
    </row>
    <row r="60" spans="1:21" ht="14.25" customHeight="1" x14ac:dyDescent="0.2">
      <c r="A60" s="1">
        <v>2</v>
      </c>
      <c r="B60" s="88">
        <f>'2'!E101</f>
        <v>12638</v>
      </c>
      <c r="T60" s="1">
        <v>2</v>
      </c>
      <c r="U60" s="32">
        <f>'2'!B68</f>
        <v>2.5716591721434336E-2</v>
      </c>
    </row>
    <row r="61" spans="1:21" ht="14.25" customHeight="1" x14ac:dyDescent="0.2">
      <c r="A61" s="1">
        <v>3</v>
      </c>
      <c r="B61" s="88">
        <f>'3'!E101</f>
        <v>15239.900000000001</v>
      </c>
      <c r="T61" s="1">
        <v>3</v>
      </c>
      <c r="U61" s="32">
        <f>'3'!B68</f>
        <v>2.7830211987942877E-2</v>
      </c>
    </row>
    <row r="62" spans="1:21" ht="14.25" customHeight="1" x14ac:dyDescent="0.2">
      <c r="A62" s="1">
        <v>4</v>
      </c>
      <c r="B62" s="88">
        <f>'4'!E101</f>
        <v>18653.240000000005</v>
      </c>
      <c r="T62" s="1">
        <v>4</v>
      </c>
      <c r="U62" s="32">
        <f>'4'!B68</f>
        <v>2.9302757262126972E-2</v>
      </c>
    </row>
    <row r="63" spans="1:21" ht="14.25" customHeight="1" x14ac:dyDescent="0.2">
      <c r="A63" s="1">
        <v>5</v>
      </c>
      <c r="B63" s="88">
        <f>'5'!E101</f>
        <v>22305.381499999996</v>
      </c>
      <c r="T63" s="1">
        <v>5</v>
      </c>
      <c r="U63" s="32">
        <f>'5'!B68</f>
        <v>3.0462172898161239E-2</v>
      </c>
    </row>
    <row r="64" spans="1:21" ht="14.25" customHeight="1" x14ac:dyDescent="0.2">
      <c r="A64" s="1">
        <v>6</v>
      </c>
      <c r="B64" s="88">
        <f>'6'!E101</f>
        <v>23984.578025000006</v>
      </c>
      <c r="T64" s="1">
        <v>6</v>
      </c>
      <c r="U64" s="32">
        <f>'6'!B68</f>
        <v>3.1339138226986814E-2</v>
      </c>
    </row>
    <row r="65" spans="1:21" ht="14.25" customHeight="1" x14ac:dyDescent="0.2">
      <c r="A65" s="1">
        <v>7</v>
      </c>
      <c r="B65" s="88">
        <f>'7'!E101</f>
        <v>34574.663766875012</v>
      </c>
      <c r="T65" s="1">
        <v>7</v>
      </c>
      <c r="U65" s="32">
        <f>'7'!B68</f>
        <v>0.24122169985316225</v>
      </c>
    </row>
    <row r="66" spans="1:21" ht="14.25" customHeight="1" x14ac:dyDescent="0.2">
      <c r="A66" s="1">
        <v>8</v>
      </c>
      <c r="B66" s="88">
        <f>'8'!E101</f>
        <v>44842.996008218775</v>
      </c>
      <c r="T66" s="1">
        <v>8</v>
      </c>
      <c r="U66" s="32">
        <f>'8'!B68</f>
        <v>0.22482527335910635</v>
      </c>
    </row>
    <row r="67" spans="1:21" ht="14.25" customHeight="1" x14ac:dyDescent="0.2">
      <c r="A67" s="1">
        <v>9</v>
      </c>
      <c r="B67" s="88">
        <f>'9'!E101</f>
        <v>56604.164672229716</v>
      </c>
      <c r="T67" s="1">
        <v>9</v>
      </c>
      <c r="U67" s="32">
        <f>'9'!B68</f>
        <v>0.20858193375521719</v>
      </c>
    </row>
    <row r="68" spans="1:21" ht="14.25" customHeight="1" x14ac:dyDescent="0.2">
      <c r="A68" s="1">
        <v>10</v>
      </c>
      <c r="B68" s="88">
        <f>'10'!E101</f>
        <v>63732.033207165987</v>
      </c>
      <c r="T68" s="1">
        <v>10</v>
      </c>
      <c r="U68" s="32">
        <f>'10'!B68</f>
        <v>0.37900472088348047</v>
      </c>
    </row>
    <row r="69" spans="1:21" ht="14.25" customHeight="1" x14ac:dyDescent="0.2">
      <c r="A69" s="1">
        <v>11</v>
      </c>
      <c r="B69" s="88">
        <f>'11'!E101</f>
        <v>89601.060631172426</v>
      </c>
      <c r="T69" s="1">
        <v>11</v>
      </c>
      <c r="U69" s="32">
        <f>'11'!B68</f>
        <v>0.32212068060649579</v>
      </c>
    </row>
    <row r="70" spans="1:21" ht="14.25" customHeight="1" x14ac:dyDescent="0.2">
      <c r="A70" s="1">
        <v>12</v>
      </c>
      <c r="B70" s="88">
        <f>'12'!E101</f>
        <v>128346.35470461322</v>
      </c>
      <c r="T70" s="1">
        <v>12</v>
      </c>
      <c r="U70" s="32">
        <f>'12'!B68</f>
        <v>0.26816082045510187</v>
      </c>
    </row>
    <row r="71" spans="1:21" ht="14.25" customHeight="1" x14ac:dyDescent="0.2">
      <c r="A71" s="1">
        <v>13</v>
      </c>
      <c r="B71" s="88">
        <f>'13'!E101</f>
        <v>194259.64615278074</v>
      </c>
      <c r="T71" s="1">
        <v>13</v>
      </c>
      <c r="U71" s="32">
        <f>'13'!B68</f>
        <v>0.21866591329835369</v>
      </c>
    </row>
    <row r="72" spans="1:21" ht="14.25" customHeight="1" x14ac:dyDescent="0.2">
      <c r="A72" s="1">
        <v>14</v>
      </c>
      <c r="B72" s="88">
        <f>'14'!E101</f>
        <v>255243.2700664812</v>
      </c>
      <c r="T72" s="1">
        <v>14</v>
      </c>
      <c r="U72" s="32">
        <f>'14'!B68</f>
        <v>0.10470263392309094</v>
      </c>
    </row>
    <row r="73" spans="1:21" ht="14.25" customHeight="1" x14ac:dyDescent="0.2">
      <c r="A73" s="1">
        <v>15</v>
      </c>
      <c r="B73" s="88">
        <f>'15'!E101</f>
        <v>392082.67970642372</v>
      </c>
      <c r="T73" s="1">
        <v>15</v>
      </c>
      <c r="U73" s="32">
        <f>'15'!B68</f>
        <v>8.2666625999895091E-2</v>
      </c>
    </row>
    <row r="74" spans="1:21" ht="14.25" customHeight="1" x14ac:dyDescent="0.2"/>
    <row r="75" spans="1:21" ht="14.25" customHeight="1" x14ac:dyDescent="0.2"/>
    <row r="76" spans="1:21" ht="14.25" customHeight="1" x14ac:dyDescent="0.2">
      <c r="B76" s="1" t="s">
        <v>39</v>
      </c>
    </row>
    <row r="77" spans="1:21" ht="14.25" customHeight="1" x14ac:dyDescent="0.2">
      <c r="A77" s="1">
        <v>1</v>
      </c>
      <c r="B77" s="11">
        <f>'1'!I21</f>
        <v>89976</v>
      </c>
    </row>
    <row r="78" spans="1:21" ht="14.25" customHeight="1" x14ac:dyDescent="0.2">
      <c r="A78" s="1">
        <v>2</v>
      </c>
      <c r="B78" s="11">
        <f>'2'!I29</f>
        <v>328387.59999999998</v>
      </c>
    </row>
    <row r="79" spans="1:21" ht="14.25" customHeight="1" x14ac:dyDescent="0.2">
      <c r="A79" s="1">
        <v>3</v>
      </c>
      <c r="B79" s="11">
        <f>'3'!I29</f>
        <v>557929.59204199992</v>
      </c>
    </row>
    <row r="80" spans="1:21" ht="14.25" customHeight="1" x14ac:dyDescent="0.2">
      <c r="A80" s="1">
        <v>4</v>
      </c>
      <c r="B80" s="11">
        <f>'4'!I29</f>
        <v>756981.81680696993</v>
      </c>
    </row>
    <row r="81" spans="1:15" ht="14.25" customHeight="1" x14ac:dyDescent="0.2">
      <c r="A81" s="1">
        <v>5</v>
      </c>
      <c r="B81" s="11">
        <f>'5'!I29</f>
        <v>967530.80640416383</v>
      </c>
    </row>
    <row r="82" spans="1:15" ht="14.25" customHeight="1" x14ac:dyDescent="0.2">
      <c r="A82" s="1">
        <v>6</v>
      </c>
      <c r="B82" s="11">
        <f>'6'!I29</f>
        <v>1216161.5435678514</v>
      </c>
    </row>
    <row r="83" spans="1:15" ht="14.25" customHeight="1" x14ac:dyDescent="0.2">
      <c r="A83" s="1">
        <v>7</v>
      </c>
      <c r="B83" s="11">
        <f>'7'!I30</f>
        <v>2187042.8281215685</v>
      </c>
    </row>
    <row r="84" spans="1:15" ht="14.25" customHeight="1" x14ac:dyDescent="0.2">
      <c r="A84" s="1">
        <v>8</v>
      </c>
      <c r="B84" s="11">
        <f>'8'!I30</f>
        <v>2396319.2617049417</v>
      </c>
    </row>
    <row r="85" spans="1:15" ht="14.25" customHeight="1" x14ac:dyDescent="0.2">
      <c r="A85" s="1">
        <v>9</v>
      </c>
      <c r="B85" s="11">
        <f>'9'!I30</f>
        <v>2637090.4279176788</v>
      </c>
    </row>
    <row r="86" spans="1:15" ht="14.25" customHeight="1" x14ac:dyDescent="0.2">
      <c r="A86" s="1">
        <v>10</v>
      </c>
      <c r="B86" s="11">
        <f>'10'!I31</f>
        <v>7249405.358554719</v>
      </c>
    </row>
    <row r="87" spans="1:15" ht="14.25" customHeight="1" x14ac:dyDescent="0.2">
      <c r="A87" s="1">
        <v>11</v>
      </c>
      <c r="B87" s="11">
        <f>'11'!I31</f>
        <v>7570938.9873978384</v>
      </c>
    </row>
    <row r="88" spans="1:15" ht="14.25" customHeight="1" x14ac:dyDescent="0.2">
      <c r="A88" s="1">
        <v>12</v>
      </c>
      <c r="B88" s="11">
        <f>'12'!I31</f>
        <v>8037099.1876151087</v>
      </c>
    </row>
    <row r="89" spans="1:15" ht="14.25" customHeight="1" x14ac:dyDescent="0.2">
      <c r="A89" s="1">
        <v>13</v>
      </c>
      <c r="B89" s="11">
        <f>'13'!I31</f>
        <v>8684733.2344117761</v>
      </c>
    </row>
    <row r="90" spans="1:15" ht="14.25" customHeight="1" x14ac:dyDescent="0.2">
      <c r="A90" s="1">
        <v>14</v>
      </c>
      <c r="B90" s="11">
        <f>'14'!I31</f>
        <v>9899237.8984732181</v>
      </c>
    </row>
    <row r="91" spans="1:15" ht="14.25" customHeight="1" x14ac:dyDescent="0.2">
      <c r="A91" s="1">
        <v>15</v>
      </c>
      <c r="B91" s="11">
        <f>'15'!I31</f>
        <v>11604992.217680145</v>
      </c>
    </row>
    <row r="92" spans="1:15" ht="14.25" customHeight="1" x14ac:dyDescent="0.2"/>
    <row r="93" spans="1:15" ht="14.25" customHeight="1" x14ac:dyDescent="0.2"/>
    <row r="94" spans="1:15" ht="14.25" customHeight="1" x14ac:dyDescent="0.2">
      <c r="B94" s="1" t="s">
        <v>94</v>
      </c>
      <c r="N94" s="1" t="s">
        <v>138</v>
      </c>
    </row>
    <row r="95" spans="1:15" ht="14.25" customHeight="1" x14ac:dyDescent="0.2">
      <c r="A95" s="1">
        <v>1</v>
      </c>
      <c r="B95" s="88">
        <f>'1'!L21</f>
        <v>419616.00000000006</v>
      </c>
      <c r="M95" s="1">
        <v>1</v>
      </c>
      <c r="N95" s="1">
        <v>495600</v>
      </c>
    </row>
    <row r="96" spans="1:15" ht="14.25" customHeight="1" x14ac:dyDescent="0.2">
      <c r="A96" s="1">
        <v>2</v>
      </c>
      <c r="B96" s="88">
        <f>'2'!L21</f>
        <v>413856.00000000006</v>
      </c>
      <c r="M96" s="1">
        <v>2</v>
      </c>
      <c r="N96" s="1">
        <v>520380</v>
      </c>
      <c r="O96" s="32">
        <f t="shared" ref="O96:O109" si="0">(N96-N95)/N95</f>
        <v>0.05</v>
      </c>
    </row>
    <row r="97" spans="1:15" ht="14.25" customHeight="1" x14ac:dyDescent="0.2">
      <c r="A97" s="1">
        <v>3</v>
      </c>
      <c r="B97" s="88">
        <f>'3'!L21</f>
        <v>400473.60000000009</v>
      </c>
      <c r="M97" s="1">
        <v>3</v>
      </c>
      <c r="N97" s="1">
        <v>546399</v>
      </c>
      <c r="O97" s="32">
        <f t="shared" si="0"/>
        <v>0.05</v>
      </c>
    </row>
    <row r="98" spans="1:15" ht="14.25" customHeight="1" x14ac:dyDescent="0.2">
      <c r="A98" s="1">
        <v>4</v>
      </c>
      <c r="B98" s="88">
        <f>'4'!L21</f>
        <v>385267.20000000007</v>
      </c>
      <c r="M98" s="1">
        <v>4</v>
      </c>
      <c r="N98" s="1">
        <v>580532.4</v>
      </c>
      <c r="O98" s="32">
        <f t="shared" si="0"/>
        <v>6.2469733656174378E-2</v>
      </c>
    </row>
    <row r="99" spans="1:15" ht="14.25" customHeight="1" x14ac:dyDescent="0.2">
      <c r="A99" s="1">
        <v>5</v>
      </c>
      <c r="B99" s="88">
        <f>'5'!L21</f>
        <v>368256.00000000006</v>
      </c>
      <c r="M99" s="1">
        <v>5</v>
      </c>
      <c r="N99" s="1">
        <v>617053.81499999994</v>
      </c>
      <c r="O99" s="32">
        <f t="shared" si="0"/>
        <v>6.2910209662716363E-2</v>
      </c>
    </row>
    <row r="100" spans="1:15" ht="14.25" customHeight="1" x14ac:dyDescent="0.2">
      <c r="A100" s="1">
        <v>6</v>
      </c>
      <c r="B100" s="88">
        <f>'6'!L21</f>
        <v>349459.20000000007</v>
      </c>
      <c r="M100" s="1">
        <v>6</v>
      </c>
      <c r="N100" s="1">
        <v>656150.78025000007</v>
      </c>
      <c r="O100" s="32">
        <f t="shared" si="0"/>
        <v>6.3360705824337421E-2</v>
      </c>
    </row>
    <row r="101" spans="1:15" ht="14.25" customHeight="1" x14ac:dyDescent="0.2">
      <c r="A101" s="1">
        <v>7</v>
      </c>
      <c r="B101" s="88">
        <f>'7'!L21</f>
        <v>1382004</v>
      </c>
      <c r="M101" s="1">
        <v>7</v>
      </c>
      <c r="N101" s="1">
        <v>716164.42511250009</v>
      </c>
      <c r="O101" s="32">
        <f t="shared" si="0"/>
        <v>9.1463192102940447E-2</v>
      </c>
    </row>
    <row r="102" spans="1:15" ht="14.25" customHeight="1" x14ac:dyDescent="0.2">
      <c r="A102" s="1">
        <v>8</v>
      </c>
      <c r="B102" s="11">
        <f>'8'!L21</f>
        <v>1209249.6000000001</v>
      </c>
      <c r="M102" s="1">
        <v>8</v>
      </c>
      <c r="N102" s="1">
        <v>784619.97338812519</v>
      </c>
      <c r="O102" s="32">
        <f t="shared" si="0"/>
        <v>9.5586356813062351E-2</v>
      </c>
    </row>
    <row r="103" spans="1:15" ht="14.25" customHeight="1" x14ac:dyDescent="0.2">
      <c r="A103" s="1">
        <v>9</v>
      </c>
      <c r="B103" s="11">
        <f>'9'!L21</f>
        <v>1032847.2000000001</v>
      </c>
      <c r="M103" s="1">
        <v>9</v>
      </c>
      <c r="N103" s="1">
        <v>863027.76448153146</v>
      </c>
      <c r="O103" s="32">
        <f t="shared" si="0"/>
        <v>9.9930914012840918E-2</v>
      </c>
    </row>
    <row r="104" spans="1:15" ht="14.25" customHeight="1" x14ac:dyDescent="0.2">
      <c r="A104" s="1">
        <v>10</v>
      </c>
      <c r="B104" s="11">
        <f>'10'!L21</f>
        <v>6183259.3192481883</v>
      </c>
      <c r="M104" s="1">
        <v>10</v>
      </c>
      <c r="N104" s="1">
        <v>953191.30361440801</v>
      </c>
      <c r="O104" s="32">
        <f t="shared" si="0"/>
        <v>0.10447350924688127</v>
      </c>
    </row>
    <row r="105" spans="1:15" ht="14.25" customHeight="1" x14ac:dyDescent="0.2">
      <c r="A105" s="1">
        <v>11</v>
      </c>
      <c r="B105" s="11">
        <f>'11'!L21</f>
        <v>5821995.3152732486</v>
      </c>
      <c r="M105" s="1">
        <v>11</v>
      </c>
      <c r="N105" s="1">
        <v>1132484.8913397684</v>
      </c>
      <c r="O105" s="32">
        <f t="shared" si="0"/>
        <v>0.18809822020563627</v>
      </c>
    </row>
    <row r="106" spans="1:15" ht="14.25" customHeight="1" x14ac:dyDescent="0.2">
      <c r="A106" s="1">
        <v>12</v>
      </c>
      <c r="B106" s="11">
        <f>'12'!L21</f>
        <v>5457198.5112983091</v>
      </c>
      <c r="M106" s="1">
        <v>12</v>
      </c>
      <c r="N106" s="1">
        <v>1373396.7674692529</v>
      </c>
      <c r="O106" s="32">
        <f t="shared" si="0"/>
        <v>0.21272855644411953</v>
      </c>
    </row>
    <row r="107" spans="1:15" ht="14.25" customHeight="1" x14ac:dyDescent="0.2">
      <c r="A107" s="1">
        <v>13</v>
      </c>
      <c r="B107" s="11">
        <f>'13'!L21</f>
        <v>5088907.3073233701</v>
      </c>
      <c r="M107" s="1">
        <v>13</v>
      </c>
      <c r="N107" s="1">
        <v>1700069.29003021</v>
      </c>
      <c r="O107" s="32">
        <f t="shared" si="0"/>
        <v>0.23785735506201455</v>
      </c>
    </row>
    <row r="108" spans="1:15" ht="14.25" customHeight="1" x14ac:dyDescent="0.2">
      <c r="A108" s="1">
        <v>14</v>
      </c>
      <c r="B108" s="11">
        <f>'14'!L21</f>
        <v>4717160.1033484302</v>
      </c>
      <c r="M108" s="1">
        <v>14</v>
      </c>
      <c r="N108" s="1">
        <v>2146276.5123942127</v>
      </c>
      <c r="O108" s="32">
        <f t="shared" si="0"/>
        <v>0.26246413895052101</v>
      </c>
    </row>
    <row r="109" spans="1:15" ht="14.25" customHeight="1" x14ac:dyDescent="0.2">
      <c r="A109" s="1">
        <v>15</v>
      </c>
      <c r="B109" s="11">
        <f>'15'!L21</f>
        <v>4492439.2993734907</v>
      </c>
      <c r="M109" s="1">
        <v>15</v>
      </c>
      <c r="N109" s="1">
        <v>2759275.5990214124</v>
      </c>
      <c r="O109" s="32">
        <f t="shared" si="0"/>
        <v>0.28561049011498874</v>
      </c>
    </row>
    <row r="110" spans="1:15" ht="14.25" customHeight="1" x14ac:dyDescent="0.2">
      <c r="N110" s="1" t="s">
        <v>262</v>
      </c>
      <c r="O110" s="32">
        <f>AVERAGE(O96:O109)</f>
        <v>0.13335381300687379</v>
      </c>
    </row>
    <row r="111" spans="1:15" ht="14.25" customHeight="1" x14ac:dyDescent="0.2"/>
    <row r="112" spans="1:15" ht="14.25" customHeight="1" x14ac:dyDescent="0.2"/>
    <row r="113" spans="1:6" ht="14.25" customHeight="1" x14ac:dyDescent="0.2"/>
    <row r="114" spans="1:6" ht="14.25" customHeight="1" x14ac:dyDescent="0.2"/>
    <row r="115" spans="1:6" ht="14.25" customHeight="1" x14ac:dyDescent="0.2">
      <c r="C115" s="1" t="s">
        <v>215</v>
      </c>
    </row>
    <row r="116" spans="1:6" ht="14.25" customHeight="1" x14ac:dyDescent="0.2">
      <c r="A116" s="1">
        <v>2</v>
      </c>
      <c r="B116" s="1" t="s">
        <v>214</v>
      </c>
      <c r="C116" s="1">
        <v>77183.110202464071</v>
      </c>
    </row>
    <row r="117" spans="1:6" ht="14.25" customHeight="1" x14ac:dyDescent="0.2">
      <c r="A117" s="1">
        <v>3</v>
      </c>
      <c r="B117" s="1" t="s">
        <v>214</v>
      </c>
      <c r="C117" s="1">
        <v>71258.436140522099</v>
      </c>
    </row>
    <row r="118" spans="1:6" ht="14.25" customHeight="1" x14ac:dyDescent="0.2">
      <c r="A118" s="1">
        <v>4</v>
      </c>
      <c r="B118" s="1" t="s">
        <v>214</v>
      </c>
      <c r="C118" s="1">
        <v>133013.75575293211</v>
      </c>
    </row>
    <row r="119" spans="1:6" ht="14.25" customHeight="1" x14ac:dyDescent="0.2">
      <c r="A119" s="1">
        <v>5</v>
      </c>
      <c r="B119" s="1" t="s">
        <v>214</v>
      </c>
      <c r="C119" s="1">
        <v>133894.89595558259</v>
      </c>
    </row>
    <row r="120" spans="1:6" ht="14.25" customHeight="1" x14ac:dyDescent="0.2">
      <c r="A120" s="1">
        <v>6</v>
      </c>
      <c r="B120" s="1" t="s">
        <v>216</v>
      </c>
      <c r="C120" s="1">
        <v>165029.95559963933</v>
      </c>
      <c r="D120" s="1">
        <f>DATA!H142</f>
        <v>135053.90075836869</v>
      </c>
      <c r="E120" s="1">
        <f>DATA!I142</f>
        <v>29976.054841270638</v>
      </c>
    </row>
    <row r="121" spans="1:6" ht="14.25" customHeight="1" x14ac:dyDescent="0.2">
      <c r="A121" s="1">
        <v>7</v>
      </c>
      <c r="B121" s="1" t="s">
        <v>213</v>
      </c>
      <c r="C121" s="1">
        <v>122718.53738605283</v>
      </c>
    </row>
    <row r="122" spans="1:6" ht="14.25" customHeight="1" x14ac:dyDescent="0.2">
      <c r="A122" s="1">
        <v>8</v>
      </c>
      <c r="B122" s="1" t="s">
        <v>213</v>
      </c>
      <c r="C122" s="1">
        <v>155673.74411130272</v>
      </c>
    </row>
    <row r="123" spans="1:6" ht="14.25" customHeight="1" x14ac:dyDescent="0.2">
      <c r="A123" s="1">
        <v>9</v>
      </c>
      <c r="B123" s="1" t="s">
        <v>213</v>
      </c>
      <c r="C123" s="1">
        <v>162581.31288837027</v>
      </c>
    </row>
    <row r="124" spans="1:6" ht="14.25" customHeight="1" x14ac:dyDescent="0.2">
      <c r="A124" s="1">
        <v>10</v>
      </c>
      <c r="B124" s="1" t="s">
        <v>211</v>
      </c>
      <c r="C124" s="1">
        <v>50919.662341477211</v>
      </c>
    </row>
    <row r="125" spans="1:6" ht="14.25" customHeight="1" x14ac:dyDescent="0.2">
      <c r="A125" s="1">
        <v>11</v>
      </c>
      <c r="B125" s="1" t="s">
        <v>211</v>
      </c>
      <c r="C125" s="1">
        <v>104890.64083494314</v>
      </c>
    </row>
    <row r="126" spans="1:6" ht="14.25" customHeight="1" x14ac:dyDescent="0.2">
      <c r="A126" s="1">
        <v>12</v>
      </c>
      <c r="B126" s="1" t="s">
        <v>211</v>
      </c>
      <c r="C126" s="1">
        <v>169964.60331645704</v>
      </c>
    </row>
    <row r="127" spans="1:6" ht="14.25" customHeight="1" x14ac:dyDescent="0.2">
      <c r="A127" s="1">
        <v>13</v>
      </c>
      <c r="B127" s="1" t="s">
        <v>217</v>
      </c>
      <c r="C127" s="1">
        <v>234101.49389700126</v>
      </c>
      <c r="E127" s="1">
        <f>DATA!M135</f>
        <v>218545.4</v>
      </c>
      <c r="F127" s="1">
        <f>DATA!N135</f>
        <v>15556.093897001278</v>
      </c>
    </row>
    <row r="128" spans="1:6" ht="14.25" customHeight="1" x14ac:dyDescent="0.2">
      <c r="A128" s="1">
        <v>14</v>
      </c>
      <c r="B128" s="1" t="s">
        <v>217</v>
      </c>
      <c r="C128" s="1">
        <v>443889.64408162527</v>
      </c>
      <c r="E128" s="1">
        <f>DATA!M139</f>
        <v>212180</v>
      </c>
      <c r="F128" s="1">
        <f>DATA!N139</f>
        <v>231709.64408162524</v>
      </c>
    </row>
    <row r="129" spans="1:6" ht="14.25" customHeight="1" x14ac:dyDescent="0.2">
      <c r="A129" s="1">
        <v>15</v>
      </c>
      <c r="B129" s="1" t="s">
        <v>218</v>
      </c>
      <c r="C129" s="1">
        <v>606592.57495078037</v>
      </c>
      <c r="D129" s="1">
        <f>DATA!O142</f>
        <v>90092.574950780356</v>
      </c>
      <c r="E129" s="1">
        <f>DATA!M142</f>
        <v>206000</v>
      </c>
      <c r="F129" s="1">
        <f>DATA!N142</f>
        <v>310500</v>
      </c>
    </row>
    <row r="130" spans="1:6" ht="14.25" customHeight="1" x14ac:dyDescent="0.2">
      <c r="C130" s="1">
        <v>2631712.36745915</v>
      </c>
    </row>
    <row r="131" spans="1:6" ht="14.25" customHeight="1" x14ac:dyDescent="0.2"/>
    <row r="132" spans="1:6" ht="14.25" customHeight="1" x14ac:dyDescent="0.2"/>
    <row r="133" spans="1:6" ht="14.25" customHeight="1" x14ac:dyDescent="0.2"/>
    <row r="134" spans="1:6" ht="14.25" customHeight="1" x14ac:dyDescent="0.2">
      <c r="C134" s="1" t="s">
        <v>215</v>
      </c>
    </row>
    <row r="135" spans="1:6" ht="14.25" customHeight="1" x14ac:dyDescent="0.2">
      <c r="B135" s="1" t="s">
        <v>263</v>
      </c>
      <c r="C135" s="11">
        <f>C116+C117+C118+C119+D120+D129</f>
        <v>640496.67376064986</v>
      </c>
    </row>
    <row r="136" spans="1:6" ht="14.25" customHeight="1" x14ac:dyDescent="0.2">
      <c r="B136" s="1" t="s">
        <v>264</v>
      </c>
      <c r="C136" s="11">
        <f>C121+C122+C123</f>
        <v>440973.5943857258</v>
      </c>
    </row>
    <row r="137" spans="1:6" ht="14.25" customHeight="1" x14ac:dyDescent="0.2">
      <c r="B137" s="1" t="s">
        <v>265</v>
      </c>
      <c r="C137" s="11">
        <f>E120+C124+C125+C126+E127+E128+E129</f>
        <v>992476.3613341481</v>
      </c>
    </row>
    <row r="138" spans="1:6" ht="14.25" customHeight="1" x14ac:dyDescent="0.2">
      <c r="B138" s="1" t="s">
        <v>266</v>
      </c>
      <c r="C138" s="11">
        <f>F127+F128+F129</f>
        <v>557765.73797862651</v>
      </c>
    </row>
    <row r="139" spans="1:6" ht="14.25" customHeight="1" x14ac:dyDescent="0.2"/>
    <row r="140" spans="1:6" ht="14.25" customHeight="1" x14ac:dyDescent="0.2"/>
    <row r="141" spans="1:6" ht="14.25" customHeight="1" x14ac:dyDescent="0.2"/>
    <row r="142" spans="1:6" ht="14.25" customHeight="1" x14ac:dyDescent="0.2"/>
    <row r="143" spans="1:6" ht="14.25" customHeight="1" x14ac:dyDescent="0.2"/>
    <row r="144" spans="1:6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workbookViewId="0"/>
  </sheetViews>
  <sheetFormatPr defaultColWidth="12.625" defaultRowHeight="15" customHeight="1" x14ac:dyDescent="0.2"/>
  <cols>
    <col min="1" max="1" width="8.75" customWidth="1"/>
    <col min="2" max="2" width="37.75" customWidth="1"/>
    <col min="3" max="3" width="11.625" customWidth="1"/>
    <col min="4" max="4" width="10.375" customWidth="1"/>
    <col min="5" max="5" width="33.625" customWidth="1"/>
    <col min="6" max="6" width="11.125" customWidth="1"/>
    <col min="7" max="7" width="8.75" customWidth="1"/>
    <col min="8" max="8" width="41.25" customWidth="1"/>
    <col min="9" max="9" width="11.375" customWidth="1"/>
    <col min="10" max="10" width="10.375" customWidth="1"/>
    <col min="11" max="11" width="8.75" customWidth="1"/>
    <col min="12" max="12" width="13.25" customWidth="1"/>
    <col min="13" max="13" width="19.375" customWidth="1"/>
    <col min="14" max="14" width="9.25" customWidth="1"/>
    <col min="15" max="15" width="8.125" customWidth="1"/>
    <col min="16" max="16" width="11.375" customWidth="1"/>
    <col min="17" max="19" width="8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f>'1_'!C3+'1_'!I24-'1_'!C24</f>
        <v>555400</v>
      </c>
      <c r="E3" s="68" t="s">
        <v>10</v>
      </c>
      <c r="F3" s="6">
        <f>VLOOKUP(E3,CFP!$AA$32:$AK$37,3,FALSE)</f>
        <v>1483200</v>
      </c>
      <c r="H3" s="1" t="s">
        <v>11</v>
      </c>
      <c r="I3" s="7">
        <f>12000+G39</f>
        <v>54458</v>
      </c>
      <c r="J3" s="6"/>
      <c r="L3" s="8">
        <f>L4-M21</f>
        <v>1191800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555400</v>
      </c>
      <c r="E4" s="68" t="s">
        <v>15</v>
      </c>
      <c r="F4" s="6">
        <f>VLOOKUP(E4,CFP!$AA$32:$AK$37,3,FALSE)</f>
        <v>494400</v>
      </c>
      <c r="H4" s="1" t="s">
        <v>16</v>
      </c>
      <c r="I4" s="7">
        <f>4100+G40</f>
        <v>143239</v>
      </c>
      <c r="L4" s="16">
        <f>SUM(F3:F4)</f>
        <v>1977600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VLOOKUP(E5,CFP!$AA$32:$AK$37,3,FALSE)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555400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VLOOKUP(E6,CFP!$AA$32:$AK$37,3,FALSE)</f>
        <v>15750</v>
      </c>
      <c r="H6" s="1" t="s">
        <v>30</v>
      </c>
      <c r="I6" s="7">
        <v>348000</v>
      </c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0</v>
      </c>
      <c r="X6" s="19" t="s">
        <v>33</v>
      </c>
      <c r="Y6" s="26">
        <f>C36</f>
        <v>6953055</v>
      </c>
    </row>
    <row r="7" spans="2:25" ht="14.25" customHeight="1" x14ac:dyDescent="0.2">
      <c r="B7" s="1" t="s">
        <v>34</v>
      </c>
      <c r="C7" s="6">
        <v>500000</v>
      </c>
      <c r="E7" s="1" t="s">
        <v>35</v>
      </c>
      <c r="F7" s="6">
        <f>VLOOKUP(E7,CFP!$AA$32:$AK$37,3,FALSE)</f>
        <v>3300</v>
      </c>
      <c r="H7" s="68" t="s">
        <v>36</v>
      </c>
      <c r="I7" s="7">
        <f>F3*0.05</f>
        <v>74160</v>
      </c>
      <c r="J7" s="7"/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 t="e">
        <f>U5/U6</f>
        <v>#DIV/0!</v>
      </c>
      <c r="V7" s="1" t="s">
        <v>38</v>
      </c>
      <c r="X7" s="19" t="s">
        <v>39</v>
      </c>
      <c r="Y7" s="26">
        <f>C19</f>
        <v>9389055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2212650</v>
      </c>
      <c r="H8" s="1" t="s">
        <v>45</v>
      </c>
      <c r="I8" s="7">
        <v>10500</v>
      </c>
      <c r="J8" s="7"/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0.74054896898569667</v>
      </c>
    </row>
    <row r="9" spans="2:25" ht="14.25" customHeight="1" x14ac:dyDescent="0.2">
      <c r="B9" s="68" t="s">
        <v>50</v>
      </c>
      <c r="C9" s="6">
        <f>'1_'!C9+'1_'!I18</f>
        <v>1050000</v>
      </c>
      <c r="F9" s="6"/>
      <c r="H9" s="14" t="s">
        <v>51</v>
      </c>
      <c r="I9" s="15">
        <f>SUM(I3:I8)</f>
        <v>642357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f>'1_'!C10+'1_'!I7*2</f>
        <v>1214000</v>
      </c>
      <c r="E10" s="6"/>
      <c r="F10" s="6">
        <f>F8*0.15</f>
        <v>331897.5</v>
      </c>
      <c r="L10" s="34"/>
      <c r="M10" s="22" t="s">
        <v>56</v>
      </c>
      <c r="N10" s="23">
        <f>IF((L3-N6-N7-N8-N9)&gt;=250000,250000,(L3-N6-N7-N8-N9))</f>
        <v>250000</v>
      </c>
      <c r="O10" s="24">
        <v>0.2</v>
      </c>
      <c r="P10" s="25">
        <f t="shared" si="0"/>
        <v>50000</v>
      </c>
      <c r="S10" s="17"/>
      <c r="T10" s="2" t="s">
        <v>4</v>
      </c>
      <c r="U10" s="21">
        <f>C4</f>
        <v>555400</v>
      </c>
    </row>
    <row r="11" spans="2:25" ht="14.25" customHeight="1" x14ac:dyDescent="0.2">
      <c r="B11" s="68" t="s">
        <v>57</v>
      </c>
      <c r="C11" s="6">
        <f>CFP!AJ12</f>
        <v>269655</v>
      </c>
      <c r="H11" s="1" t="s">
        <v>58</v>
      </c>
      <c r="M11" s="22" t="s">
        <v>59</v>
      </c>
      <c r="N11" s="23">
        <f>IF((L3-N6-N7-N8-N9-N10)&gt;=1000000,1000000,(L3-N6-N7-N8-N9-N10))</f>
        <v>191800</v>
      </c>
      <c r="O11" s="24">
        <v>0.25</v>
      </c>
      <c r="P11" s="25">
        <f t="shared" si="0"/>
        <v>47950</v>
      </c>
      <c r="S11" s="17"/>
      <c r="T11" s="2" t="s">
        <v>60</v>
      </c>
      <c r="U11" s="21">
        <f>I22/12</f>
        <v>182108.91666666666</v>
      </c>
    </row>
    <row r="12" spans="2:25" ht="14.25" customHeight="1" x14ac:dyDescent="0.2">
      <c r="B12" s="14" t="s">
        <v>61</v>
      </c>
      <c r="C12" s="15">
        <f>SUM(C7:C11)</f>
        <v>3633655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3.0498232056182495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162950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162950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1242950</v>
      </c>
      <c r="T15" s="2" t="s">
        <v>4</v>
      </c>
      <c r="U15" s="21">
        <f>C4</f>
        <v>555400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6953055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7.9878556979629811E-2</v>
      </c>
    </row>
    <row r="18" spans="2:22" ht="14.25" customHeight="1" x14ac:dyDescent="0.2">
      <c r="H18" s="70" t="s">
        <v>79</v>
      </c>
      <c r="I18" s="6">
        <v>300000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9389055</v>
      </c>
      <c r="H19" s="14" t="s">
        <v>82</v>
      </c>
      <c r="I19" s="15">
        <f>SUM(I18)</f>
        <v>300000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616800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785800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2185307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T23" s="49" t="s">
        <v>94</v>
      </c>
      <c r="U23" s="50">
        <f>C30</f>
        <v>2436000</v>
      </c>
    </row>
    <row r="24" spans="2:22" ht="14.25" customHeight="1" x14ac:dyDescent="0.2">
      <c r="B24" s="70" t="s">
        <v>95</v>
      </c>
      <c r="C24" s="6"/>
      <c r="H24" s="51" t="s">
        <v>96</v>
      </c>
      <c r="I24" s="52">
        <f>F8-I22</f>
        <v>27343</v>
      </c>
      <c r="J24" s="53"/>
      <c r="L24" s="6"/>
      <c r="T24" s="2" t="s">
        <v>39</v>
      </c>
      <c r="U24" s="21">
        <f>C19</f>
        <v>9389055</v>
      </c>
    </row>
    <row r="25" spans="2:22" ht="14.25" customHeight="1" x14ac:dyDescent="0.2">
      <c r="B25" s="14" t="s">
        <v>97</v>
      </c>
      <c r="C25" s="15">
        <f>SUM(C24)</f>
        <v>0</v>
      </c>
      <c r="H25" s="51" t="s">
        <v>98</v>
      </c>
      <c r="I25" s="52">
        <f>I24/12</f>
        <v>2278.5833333333335</v>
      </c>
      <c r="T25" s="28"/>
      <c r="U25" s="38">
        <f>U23/U24</f>
        <v>0.25945103101430333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68" t="s">
        <v>102</v>
      </c>
      <c r="C27" s="6">
        <f>'1_'!C27-'1_'!I6</f>
        <v>2436000</v>
      </c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2436000</v>
      </c>
      <c r="T28" s="2" t="s">
        <v>106</v>
      </c>
      <c r="U28" s="21">
        <f>I6+C25</f>
        <v>348000</v>
      </c>
    </row>
    <row r="29" spans="2:22" ht="14.25" customHeight="1" x14ac:dyDescent="0.2">
      <c r="T29" s="2" t="s">
        <v>107</v>
      </c>
      <c r="U29" s="21">
        <f>F8</f>
        <v>2212650</v>
      </c>
    </row>
    <row r="30" spans="2:22" ht="14.25" customHeight="1" x14ac:dyDescent="0.2">
      <c r="B30" s="41" t="s">
        <v>94</v>
      </c>
      <c r="C30" s="42">
        <f>C28+C25</f>
        <v>2436000</v>
      </c>
      <c r="T30" s="28"/>
      <c r="U30" s="38">
        <f>U28/U29</f>
        <v>0.15727747271371431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9389055</v>
      </c>
      <c r="T33" s="2" t="s">
        <v>115</v>
      </c>
      <c r="U33" s="21">
        <f>C24</f>
        <v>0</v>
      </c>
    </row>
    <row r="34" spans="1:22" ht="14.25" customHeight="1" x14ac:dyDescent="0.2">
      <c r="B34" s="41" t="s">
        <v>116</v>
      </c>
      <c r="C34" s="42">
        <f>C30</f>
        <v>2436000</v>
      </c>
      <c r="T34" s="2" t="s">
        <v>107</v>
      </c>
      <c r="U34" s="21">
        <f>F8</f>
        <v>2212650</v>
      </c>
    </row>
    <row r="35" spans="1:22" ht="14.25" customHeight="1" x14ac:dyDescent="0.2">
      <c r="T35" s="28"/>
      <c r="U35" s="38">
        <f>U33/U34</f>
        <v>0</v>
      </c>
    </row>
    <row r="36" spans="1:22" ht="14.25" customHeight="1" x14ac:dyDescent="0.2">
      <c r="B36" s="54" t="s">
        <v>119</v>
      </c>
      <c r="C36" s="55">
        <f>C33-C34</f>
        <v>6953055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>
        <v>45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 t="shared" ref="G39:H39" si="1">$E$39+$E$46+$E$50</f>
        <v>42458</v>
      </c>
      <c r="H39" s="69">
        <f t="shared" si="1"/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 t="shared" ref="G40:H40" si="2">+$E$40+$E$41+$E$42+$E$43+$E$44+$E$47+$E$48+$E$51</f>
        <v>139139</v>
      </c>
      <c r="H40" s="69">
        <f t="shared" si="2"/>
        <v>139139</v>
      </c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374160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2212650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0.1691003999728832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>
        <v>44</v>
      </c>
      <c r="E45" s="61">
        <f>SUM(E39:E44)</f>
        <v>86381</v>
      </c>
      <c r="G45" s="60"/>
      <c r="H45" s="5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3633655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6953055</v>
      </c>
    </row>
    <row r="48" spans="1:22" ht="14.25" customHeight="1" x14ac:dyDescent="0.2">
      <c r="B48" s="59" t="s">
        <v>139</v>
      </c>
      <c r="E48" s="7">
        <v>6764</v>
      </c>
      <c r="H48" s="56"/>
      <c r="T48" s="28"/>
      <c r="U48" s="38">
        <f>U46/U47</f>
        <v>0.52259833986643278</v>
      </c>
    </row>
    <row r="49" spans="1:21" ht="14.25" customHeight="1" x14ac:dyDescent="0.2">
      <c r="A49" s="1">
        <v>16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2212650</v>
      </c>
      <c r="G54" s="32">
        <f>E54/F54</f>
        <v>8.2072175897679248E-2</v>
      </c>
      <c r="T54" s="9" t="s">
        <v>149</v>
      </c>
      <c r="U54" s="30" t="s">
        <v>150</v>
      </c>
    </row>
    <row r="55" spans="1:21" ht="14.25" customHeight="1" x14ac:dyDescent="0.2">
      <c r="G55" s="56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401503</v>
      </c>
    </row>
    <row r="57" spans="1:21" ht="14.25" customHeight="1" x14ac:dyDescent="0.2">
      <c r="G57" s="56"/>
      <c r="H57" s="56"/>
      <c r="T57" s="2" t="s">
        <v>138</v>
      </c>
      <c r="U57" s="21">
        <f>F8</f>
        <v>2212650</v>
      </c>
    </row>
    <row r="58" spans="1:21" ht="14.25" customHeight="1" x14ac:dyDescent="0.2">
      <c r="B58" s="32"/>
      <c r="G58" s="56"/>
      <c r="H58" s="56"/>
      <c r="T58" s="28"/>
      <c r="U58" s="38">
        <f>U56/U57</f>
        <v>0.18145798024992657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482" priority="1" operator="lessThan">
      <formula>1.01</formula>
    </cfRule>
    <cfRule type="cellIs" dxfId="481" priority="2" operator="greaterThan">
      <formula>1</formula>
    </cfRule>
  </conditionalFormatting>
  <conditionalFormatting sqref="U12">
    <cfRule type="cellIs" dxfId="480" priority="3" operator="greaterThan">
      <formula>12</formula>
    </cfRule>
    <cfRule type="cellIs" dxfId="479" priority="4" operator="lessThan">
      <formula>3</formula>
    </cfRule>
    <cfRule type="cellIs" dxfId="478" priority="5" operator="between">
      <formula>3</formula>
      <formula>12</formula>
    </cfRule>
  </conditionalFormatting>
  <conditionalFormatting sqref="U17">
    <cfRule type="cellIs" dxfId="477" priority="6" operator="equal">
      <formula>0.15</formula>
    </cfRule>
    <cfRule type="cellIs" dxfId="476" priority="7" operator="greaterThan">
      <formula>0.15</formula>
    </cfRule>
    <cfRule type="cellIs" dxfId="475" priority="8" operator="lessThan">
      <formula>0.15</formula>
    </cfRule>
  </conditionalFormatting>
  <conditionalFormatting sqref="U25">
    <cfRule type="cellIs" dxfId="474" priority="9" operator="greaterThan">
      <formula>0.499</formula>
    </cfRule>
    <cfRule type="cellIs" dxfId="473" priority="10" operator="lessThan">
      <formula>0.5</formula>
    </cfRule>
  </conditionalFormatting>
  <conditionalFormatting sqref="U30">
    <cfRule type="cellIs" dxfId="472" priority="11" operator="greaterThan">
      <formula>0.45</formula>
    </cfRule>
    <cfRule type="cellIs" dxfId="471" priority="12" operator="between">
      <formula>0.35</formula>
      <formula>0.45</formula>
    </cfRule>
    <cfRule type="cellIs" dxfId="470" priority="13" operator="lessThan">
      <formula>0.35</formula>
    </cfRule>
  </conditionalFormatting>
  <conditionalFormatting sqref="U35">
    <cfRule type="cellIs" dxfId="469" priority="14" operator="greaterThan">
      <formula>0.2</formula>
    </cfRule>
    <cfRule type="cellIs" dxfId="468" priority="15" operator="between">
      <formula>0.15</formula>
      <formula>0.2</formula>
    </cfRule>
    <cfRule type="cellIs" dxfId="467" priority="16" operator="lessThan">
      <formula>0.15</formula>
    </cfRule>
  </conditionalFormatting>
  <conditionalFormatting sqref="U43">
    <cfRule type="cellIs" dxfId="466" priority="17" operator="lessThan">
      <formula>0.101</formula>
    </cfRule>
    <cfRule type="cellIs" dxfId="465" priority="18" operator="greaterThan">
      <formula>0.1</formula>
    </cfRule>
  </conditionalFormatting>
  <conditionalFormatting sqref="U48">
    <cfRule type="cellIs" dxfId="464" priority="19" operator="lessThan">
      <formula>0.5</formula>
    </cfRule>
    <cfRule type="cellIs" dxfId="463" priority="20" operator="greaterThan">
      <formula>0.499</formula>
    </cfRule>
  </conditionalFormatting>
  <conditionalFormatting sqref="Y8">
    <cfRule type="cellIs" dxfId="462" priority="21" operator="lessThan">
      <formula>0.501</formula>
    </cfRule>
    <cfRule type="cellIs" dxfId="461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abSelected="1" topLeftCell="F1" workbookViewId="0"/>
  </sheetViews>
  <sheetFormatPr defaultColWidth="12.625" defaultRowHeight="15" customHeight="1" x14ac:dyDescent="0.2"/>
  <cols>
    <col min="1" max="1" width="6.625" customWidth="1"/>
    <col min="2" max="2" width="37.75" customWidth="1"/>
    <col min="3" max="3" width="12.375" customWidth="1"/>
    <col min="4" max="4" width="10.375" customWidth="1"/>
    <col min="5" max="5" width="33.625" customWidth="1"/>
    <col min="6" max="6" width="11.125" customWidth="1"/>
    <col min="7" max="7" width="8.75" customWidth="1"/>
    <col min="8" max="8" width="41.25" customWidth="1"/>
    <col min="9" max="9" width="11.375" customWidth="1"/>
    <col min="10" max="11" width="8.75" customWidth="1"/>
    <col min="12" max="12" width="13.25" customWidth="1"/>
    <col min="13" max="13" width="19.375" customWidth="1"/>
    <col min="14" max="15" width="8.75" customWidth="1"/>
    <col min="16" max="16" width="10.75" customWidth="1"/>
    <col min="17" max="19" width="8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f>'2_'!C3+'2_'!I24</f>
        <v>582743</v>
      </c>
      <c r="E3" s="68" t="s">
        <v>10</v>
      </c>
      <c r="F3" s="6">
        <f>VLOOKUP(E3,CFP!$AA$32:$AK$37,4,FALSE)</f>
        <v>1527696</v>
      </c>
      <c r="H3" s="1" t="s">
        <v>11</v>
      </c>
      <c r="I3" s="7">
        <f>12000+G39</f>
        <v>54458</v>
      </c>
      <c r="J3" s="6"/>
      <c r="L3" s="8">
        <f>L4-M21</f>
        <v>1251128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582743</v>
      </c>
      <c r="E4" s="68" t="s">
        <v>15</v>
      </c>
      <c r="F4" s="6">
        <f>VLOOKUP(E4,CFP!$AA$32:$AK$37,4,FALSE)</f>
        <v>509232</v>
      </c>
      <c r="H4" s="1" t="s">
        <v>16</v>
      </c>
      <c r="I4" s="7">
        <f>4100+G40</f>
        <v>143239</v>
      </c>
      <c r="L4" s="16">
        <f>SUM(F3:F4)</f>
        <v>2036928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VLOOKUP(E5,CFP!$AA$32:$AK$37,4,FALSE)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582743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VLOOKUP(E6,CFP!$AA$32:$AK$37,4,FALSE)</f>
        <v>15750</v>
      </c>
      <c r="H6" s="1" t="s">
        <v>30</v>
      </c>
      <c r="I6" s="7">
        <v>348000</v>
      </c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0</v>
      </c>
      <c r="X6" s="19" t="s">
        <v>33</v>
      </c>
      <c r="Y6" s="26">
        <f>C36</f>
        <v>7295218</v>
      </c>
    </row>
    <row r="7" spans="2:25" ht="14.25" customHeight="1" x14ac:dyDescent="0.2">
      <c r="B7" s="1" t="s">
        <v>34</v>
      </c>
      <c r="C7" s="6"/>
      <c r="E7" s="1" t="s">
        <v>35</v>
      </c>
      <c r="F7" s="6">
        <f>VLOOKUP(E7,CFP!$AA$32:$AK$37,4,FALSE)</f>
        <v>3300</v>
      </c>
      <c r="H7" s="68" t="s">
        <v>36</v>
      </c>
      <c r="I7" s="7">
        <f>F3*0.05</f>
        <v>76384.800000000003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 t="e">
        <f>U5/U6</f>
        <v>#DIV/0!</v>
      </c>
      <c r="V7" s="1" t="s">
        <v>38</v>
      </c>
      <c r="X7" s="19" t="s">
        <v>39</v>
      </c>
      <c r="Y7" s="26">
        <f>C19</f>
        <v>9383218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2271978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0.77747506239330688</v>
      </c>
    </row>
    <row r="9" spans="2:25" ht="14.25" customHeight="1" x14ac:dyDescent="0.2">
      <c r="B9" s="1" t="s">
        <v>50</v>
      </c>
      <c r="C9" s="6">
        <f>'2_'!C9+'2_'!I18</f>
        <v>1350000</v>
      </c>
      <c r="F9" s="6"/>
      <c r="H9" s="14" t="s">
        <v>51</v>
      </c>
      <c r="I9" s="15">
        <f>SUM(I3:I8)</f>
        <v>644581.80000000005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f>'2_'!C10+'2_'!I7*2</f>
        <v>1362320</v>
      </c>
      <c r="F10" s="6">
        <f>F8*0.15</f>
        <v>340796.7</v>
      </c>
      <c r="L10" s="34"/>
      <c r="M10" s="22" t="s">
        <v>56</v>
      </c>
      <c r="N10" s="23">
        <f>IF((L3-N6-N7-N8-N9)&gt;=250000,250000,(L3-N6-N7-N8-N9))</f>
        <v>250000</v>
      </c>
      <c r="O10" s="24">
        <v>0.2</v>
      </c>
      <c r="P10" s="25">
        <f t="shared" si="0"/>
        <v>50000</v>
      </c>
      <c r="S10" s="17"/>
      <c r="T10" s="2" t="s">
        <v>4</v>
      </c>
      <c r="U10" s="21">
        <f>C4</f>
        <v>582743</v>
      </c>
    </row>
    <row r="11" spans="2:25" ht="14.25" customHeight="1" x14ac:dyDescent="0.2">
      <c r="B11" s="68" t="s">
        <v>57</v>
      </c>
      <c r="C11" s="6">
        <f>CFP!AK12</f>
        <v>288155</v>
      </c>
      <c r="H11" s="1" t="s">
        <v>58</v>
      </c>
      <c r="M11" s="22" t="s">
        <v>59</v>
      </c>
      <c r="N11" s="23">
        <f>IF((L3-N6-N7-N8-N9-N10)&gt;=1000000,1000000,(L3-N6-N7-N8-N9-N10))</f>
        <v>251128</v>
      </c>
      <c r="O11" s="24">
        <v>0.25</v>
      </c>
      <c r="P11" s="25">
        <f t="shared" si="0"/>
        <v>62782</v>
      </c>
      <c r="S11" s="17"/>
      <c r="T11" s="2" t="s">
        <v>60</v>
      </c>
      <c r="U11" s="21">
        <f>I22/12</f>
        <v>183530.31666666665</v>
      </c>
    </row>
    <row r="12" spans="2:25" ht="14.25" customHeight="1" x14ac:dyDescent="0.2">
      <c r="B12" s="14" t="s">
        <v>61</v>
      </c>
      <c r="C12" s="15">
        <f>SUM(C7:C11)</f>
        <v>3600475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3.1751865881558716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177782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177782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1257782</v>
      </c>
      <c r="T15" s="2" t="s">
        <v>4</v>
      </c>
      <c r="U15" s="21">
        <f>C4</f>
        <v>582743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7295218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7.9880135178962433E-2</v>
      </c>
    </row>
    <row r="18" spans="2:22" ht="14.25" customHeight="1" x14ac:dyDescent="0.2">
      <c r="H18" s="1" t="s">
        <v>79</v>
      </c>
      <c r="I18" s="6">
        <v>300000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9383218</v>
      </c>
      <c r="H19" s="14" t="s">
        <v>82</v>
      </c>
      <c r="I19" s="15">
        <f>SUM(I18)</f>
        <v>300000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616800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785800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2202363.7999999998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T23" s="49" t="s">
        <v>94</v>
      </c>
      <c r="U23" s="50">
        <f>C30</f>
        <v>2088000</v>
      </c>
    </row>
    <row r="24" spans="2:22" ht="14.25" customHeight="1" x14ac:dyDescent="0.2">
      <c r="B24" s="1" t="s">
        <v>95</v>
      </c>
      <c r="C24" s="6"/>
      <c r="H24" s="51" t="s">
        <v>96</v>
      </c>
      <c r="I24" s="52">
        <f>F8-I22</f>
        <v>69614.200000000186</v>
      </c>
      <c r="J24" s="53"/>
      <c r="T24" s="2" t="s">
        <v>39</v>
      </c>
      <c r="U24" s="21">
        <f>C19</f>
        <v>9383218</v>
      </c>
    </row>
    <row r="25" spans="2:22" ht="14.25" customHeight="1" x14ac:dyDescent="0.2">
      <c r="B25" s="14" t="s">
        <v>97</v>
      </c>
      <c r="C25" s="15">
        <f>SUM(C24)</f>
        <v>0</v>
      </c>
      <c r="H25" s="51" t="s">
        <v>98</v>
      </c>
      <c r="I25" s="52">
        <f>I24/12</f>
        <v>5801.1833333333489</v>
      </c>
      <c r="T25" s="28"/>
      <c r="U25" s="38">
        <f>U23/U24</f>
        <v>0.22252493760669315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68" t="s">
        <v>102</v>
      </c>
      <c r="C27" s="6">
        <f>'2_'!C27-'2_'!I6</f>
        <v>2088000</v>
      </c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2088000</v>
      </c>
      <c r="T28" s="2" t="s">
        <v>106</v>
      </c>
      <c r="U28" s="21">
        <f>I6+C25</f>
        <v>348000</v>
      </c>
    </row>
    <row r="29" spans="2:22" ht="14.25" customHeight="1" x14ac:dyDescent="0.2">
      <c r="T29" s="2" t="s">
        <v>107</v>
      </c>
      <c r="U29" s="21">
        <f>F8</f>
        <v>2271978</v>
      </c>
    </row>
    <row r="30" spans="2:22" ht="14.25" customHeight="1" x14ac:dyDescent="0.2">
      <c r="B30" s="41" t="s">
        <v>94</v>
      </c>
      <c r="C30" s="42">
        <f>C28+C25</f>
        <v>2088000</v>
      </c>
      <c r="T30" s="28"/>
      <c r="U30" s="38">
        <f>U28/U29</f>
        <v>0.15317049724953322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9383218</v>
      </c>
      <c r="T33" s="2" t="s">
        <v>115</v>
      </c>
      <c r="U33" s="21">
        <f>C24</f>
        <v>0</v>
      </c>
    </row>
    <row r="34" spans="1:22" ht="14.25" customHeight="1" x14ac:dyDescent="0.2">
      <c r="B34" s="41" t="s">
        <v>116</v>
      </c>
      <c r="C34" s="42">
        <f>C30</f>
        <v>2088000</v>
      </c>
      <c r="T34" s="2" t="s">
        <v>107</v>
      </c>
      <c r="U34" s="21">
        <f>F8</f>
        <v>2271978</v>
      </c>
    </row>
    <row r="35" spans="1:22" ht="14.25" customHeight="1" x14ac:dyDescent="0.2">
      <c r="T35" s="28"/>
      <c r="U35" s="38">
        <f>U33/U34</f>
        <v>0</v>
      </c>
    </row>
    <row r="36" spans="1:22" ht="14.25" customHeight="1" x14ac:dyDescent="0.2">
      <c r="B36" s="54" t="s">
        <v>119</v>
      </c>
      <c r="C36" s="55">
        <f>C33-C34</f>
        <v>7295218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>
        <v>45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 t="shared" ref="G39:H39" si="1">$E$39+$E$46+$E$50</f>
        <v>42458</v>
      </c>
      <c r="H39" s="69">
        <f t="shared" si="1"/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 t="shared" ref="G40:H40" si="2">+$E$40+$E$41+$E$42+$E$43+$E$44+$E$47+$E$48+$E$51</f>
        <v>139139</v>
      </c>
      <c r="H40" s="69">
        <f t="shared" si="2"/>
        <v>139139</v>
      </c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376384.8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2271978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0.16566392808381067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>
        <v>44</v>
      </c>
      <c r="E45" s="61">
        <f>SUM(E39:E44)</f>
        <v>86381</v>
      </c>
      <c r="G45" s="60"/>
      <c r="H45" s="5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3600475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7295218</v>
      </c>
    </row>
    <row r="48" spans="1:22" ht="14.25" customHeight="1" x14ac:dyDescent="0.2">
      <c r="B48" s="59" t="s">
        <v>139</v>
      </c>
      <c r="E48" s="7">
        <v>6764</v>
      </c>
      <c r="H48" s="56"/>
      <c r="T48" s="28"/>
      <c r="U48" s="38">
        <f>U46/U47</f>
        <v>0.49353905530993042</v>
      </c>
    </row>
    <row r="49" spans="1:21" ht="14.25" customHeight="1" x14ac:dyDescent="0.2">
      <c r="A49" s="1">
        <v>16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2271978</v>
      </c>
      <c r="G54" s="32">
        <f>E54/F54</f>
        <v>7.9929031002941048E-2</v>
      </c>
      <c r="T54" s="9" t="s">
        <v>149</v>
      </c>
      <c r="U54" s="30" t="s">
        <v>150</v>
      </c>
    </row>
    <row r="55" spans="1:21" ht="14.25" customHeight="1" x14ac:dyDescent="0.2">
      <c r="G55" s="56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445999.00000000017</v>
      </c>
    </row>
    <row r="57" spans="1:21" ht="14.25" customHeight="1" x14ac:dyDescent="0.2">
      <c r="G57" s="56"/>
      <c r="H57" s="56"/>
      <c r="T57" s="2" t="s">
        <v>138</v>
      </c>
      <c r="U57" s="21">
        <f>F8</f>
        <v>2271978</v>
      </c>
    </row>
    <row r="58" spans="1:21" ht="14.25" customHeight="1" x14ac:dyDescent="0.2">
      <c r="B58" s="32"/>
      <c r="G58" s="56"/>
      <c r="H58" s="56"/>
      <c r="T58" s="28"/>
      <c r="U58" s="38">
        <f>U56/U57</f>
        <v>0.19630427759423735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460" priority="1" operator="lessThan">
      <formula>1.01</formula>
    </cfRule>
    <cfRule type="cellIs" dxfId="459" priority="2" operator="greaterThan">
      <formula>1</formula>
    </cfRule>
  </conditionalFormatting>
  <conditionalFormatting sqref="U12">
    <cfRule type="cellIs" dxfId="458" priority="3" operator="greaterThan">
      <formula>12</formula>
    </cfRule>
    <cfRule type="cellIs" dxfId="457" priority="4" operator="lessThan">
      <formula>3</formula>
    </cfRule>
    <cfRule type="cellIs" dxfId="456" priority="5" operator="between">
      <formula>3</formula>
      <formula>12</formula>
    </cfRule>
  </conditionalFormatting>
  <conditionalFormatting sqref="U17">
    <cfRule type="cellIs" dxfId="455" priority="6" operator="equal">
      <formula>0.15</formula>
    </cfRule>
    <cfRule type="cellIs" dxfId="454" priority="7" operator="greaterThan">
      <formula>0.15</formula>
    </cfRule>
    <cfRule type="cellIs" dxfId="453" priority="8" operator="lessThan">
      <formula>0.15</formula>
    </cfRule>
  </conditionalFormatting>
  <conditionalFormatting sqref="U25">
    <cfRule type="cellIs" dxfId="452" priority="9" operator="greaterThan">
      <formula>0.499</formula>
    </cfRule>
    <cfRule type="cellIs" dxfId="451" priority="10" operator="lessThan">
      <formula>0.5</formula>
    </cfRule>
  </conditionalFormatting>
  <conditionalFormatting sqref="U30">
    <cfRule type="cellIs" dxfId="450" priority="11" operator="greaterThan">
      <formula>0.45</formula>
    </cfRule>
    <cfRule type="cellIs" dxfId="449" priority="12" operator="between">
      <formula>0.35</formula>
      <formula>0.45</formula>
    </cfRule>
    <cfRule type="cellIs" dxfId="448" priority="13" operator="lessThan">
      <formula>0.35</formula>
    </cfRule>
  </conditionalFormatting>
  <conditionalFormatting sqref="U35">
    <cfRule type="cellIs" dxfId="447" priority="14" operator="greaterThan">
      <formula>0.2</formula>
    </cfRule>
    <cfRule type="cellIs" dxfId="446" priority="15" operator="between">
      <formula>0.15</formula>
      <formula>0.2</formula>
    </cfRule>
    <cfRule type="cellIs" dxfId="445" priority="16" operator="lessThan">
      <formula>0.15</formula>
    </cfRule>
  </conditionalFormatting>
  <conditionalFormatting sqref="U43">
    <cfRule type="cellIs" dxfId="444" priority="17" operator="lessThan">
      <formula>0.101</formula>
    </cfRule>
    <cfRule type="cellIs" dxfId="443" priority="18" operator="greaterThan">
      <formula>0.1</formula>
    </cfRule>
  </conditionalFormatting>
  <conditionalFormatting sqref="U48">
    <cfRule type="cellIs" dxfId="442" priority="19" operator="lessThan">
      <formula>0.5</formula>
    </cfRule>
    <cfRule type="cellIs" dxfId="441" priority="20" operator="greaterThan">
      <formula>0.499</formula>
    </cfRule>
  </conditionalFormatting>
  <conditionalFormatting sqref="Y8">
    <cfRule type="cellIs" dxfId="440" priority="21" operator="lessThan">
      <formula>0.501</formula>
    </cfRule>
    <cfRule type="cellIs" dxfId="439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workbookViewId="0"/>
  </sheetViews>
  <sheetFormatPr defaultColWidth="12.625" defaultRowHeight="15" customHeight="1" x14ac:dyDescent="0.2"/>
  <cols>
    <col min="1" max="1" width="8.75" customWidth="1"/>
    <col min="2" max="2" width="37.75" customWidth="1"/>
    <col min="3" max="3" width="12.375" customWidth="1"/>
    <col min="4" max="4" width="10.375" customWidth="1"/>
    <col min="5" max="5" width="33.625" customWidth="1"/>
    <col min="6" max="6" width="11.625" customWidth="1"/>
    <col min="7" max="7" width="8.75" customWidth="1"/>
    <col min="8" max="8" width="41.25" customWidth="1"/>
    <col min="9" max="9" width="11.375" customWidth="1"/>
    <col min="10" max="11" width="8.75" customWidth="1"/>
    <col min="12" max="12" width="13.25" customWidth="1"/>
    <col min="13" max="13" width="19.375" customWidth="1"/>
    <col min="14" max="14" width="9.25" customWidth="1"/>
    <col min="15" max="15" width="8.125" customWidth="1"/>
    <col min="16" max="16" width="11.375" customWidth="1"/>
    <col min="17" max="19" width="8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f>'3_'!C3+'3_'!I24</f>
        <v>652357.20000000019</v>
      </c>
      <c r="E3" s="68" t="s">
        <v>10</v>
      </c>
      <c r="F3" s="6">
        <f>VLOOKUP(E3,CFP!$AA$32:$AK$37,5,FALSE)</f>
        <v>1573526.8800000001</v>
      </c>
      <c r="H3" s="1" t="s">
        <v>11</v>
      </c>
      <c r="I3" s="7">
        <f>12000+G39</f>
        <v>54458</v>
      </c>
      <c r="J3" s="6"/>
      <c r="L3" s="8">
        <f>L4-M21</f>
        <v>1212235.8399999999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652357.20000000019</v>
      </c>
      <c r="E4" s="68" t="s">
        <v>15</v>
      </c>
      <c r="F4" s="6">
        <f>VLOOKUP(E4,CFP!$AA$32:$AK$37,5,FALSE)</f>
        <v>524508.96</v>
      </c>
      <c r="H4" s="1" t="s">
        <v>16</v>
      </c>
      <c r="I4" s="7">
        <f>4100+G40</f>
        <v>143239</v>
      </c>
      <c r="L4" s="16">
        <f>SUM(F3:F4)</f>
        <v>2098035.84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VLOOKUP(E5,CFP!$AA$32:$AK$37,5,FALSE)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652357.20000000019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VLOOKUP(E6,CFP!$AA$32:$AK$37,5,FALSE)</f>
        <v>15750</v>
      </c>
      <c r="H6" s="1" t="s">
        <v>30</v>
      </c>
      <c r="I6" s="7">
        <v>348000</v>
      </c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0</v>
      </c>
      <c r="X6" s="19" t="s">
        <v>33</v>
      </c>
      <c r="Y6" s="26">
        <f>C36</f>
        <v>8178046.8000000007</v>
      </c>
    </row>
    <row r="7" spans="2:25" ht="14.25" customHeight="1" x14ac:dyDescent="0.2">
      <c r="B7" s="1" t="s">
        <v>34</v>
      </c>
      <c r="C7" s="6"/>
      <c r="E7" s="1" t="s">
        <v>35</v>
      </c>
      <c r="F7" s="6">
        <f>VLOOKUP(E7,CFP!$AA$32:$AK$37,5,FALSE)</f>
        <v>3300</v>
      </c>
      <c r="H7" s="68" t="s">
        <v>36</v>
      </c>
      <c r="I7" s="7">
        <f>F3*0.05</f>
        <v>78676.344000000012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 t="e">
        <f>U5/U6</f>
        <v>#DIV/0!</v>
      </c>
      <c r="V7" s="1" t="s">
        <v>38</v>
      </c>
      <c r="X7" s="19" t="s">
        <v>39</v>
      </c>
      <c r="Y7" s="26">
        <f>C19</f>
        <v>9918046.8000000007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2333085.84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0.82456223134579276</v>
      </c>
    </row>
    <row r="9" spans="2:25" ht="14.25" customHeight="1" x14ac:dyDescent="0.2">
      <c r="B9" s="1" t="s">
        <v>50</v>
      </c>
      <c r="C9" s="6">
        <f>'3_'!C9+'3_'!I18</f>
        <v>1650000</v>
      </c>
      <c r="F9" s="6"/>
      <c r="H9" s="14" t="s">
        <v>51</v>
      </c>
      <c r="I9" s="15">
        <f>SUM(I3:I8)</f>
        <v>646873.34400000004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f>'3_'!C10+'3_'!I7*2</f>
        <v>1515089.6</v>
      </c>
      <c r="F10" s="6">
        <f>F8*0.15</f>
        <v>349962.87599999999</v>
      </c>
      <c r="L10" s="34"/>
      <c r="M10" s="22" t="s">
        <v>56</v>
      </c>
      <c r="N10" s="23">
        <f>IF((L3-N6-N7-N8-N9)&gt;=250000,250000,(L3-N6-N7-N8-N9))</f>
        <v>250000</v>
      </c>
      <c r="O10" s="24">
        <v>0.2</v>
      </c>
      <c r="P10" s="25">
        <f t="shared" si="0"/>
        <v>50000</v>
      </c>
      <c r="S10" s="17"/>
      <c r="T10" s="2" t="s">
        <v>4</v>
      </c>
      <c r="U10" s="21">
        <f>C4</f>
        <v>652357.20000000019</v>
      </c>
    </row>
    <row r="11" spans="2:25" ht="14.25" customHeight="1" x14ac:dyDescent="0.2">
      <c r="B11" s="68" t="s">
        <v>57</v>
      </c>
      <c r="C11" s="6">
        <f>CFP!AL12</f>
        <v>300600</v>
      </c>
      <c r="H11" s="1" t="s">
        <v>58</v>
      </c>
      <c r="M11" s="22" t="s">
        <v>59</v>
      </c>
      <c r="N11" s="23">
        <f>IF((L3-N6-N7-N8-N9-N10)&gt;=1000000,1000000,(L3-N6-N7-N8-N9-N10))</f>
        <v>212235.83999999985</v>
      </c>
      <c r="O11" s="24">
        <v>0.25</v>
      </c>
      <c r="P11" s="25">
        <f t="shared" si="0"/>
        <v>53058.959999999963</v>
      </c>
      <c r="S11" s="17"/>
      <c r="T11" s="2" t="s">
        <v>60</v>
      </c>
      <c r="U11" s="21">
        <f>I22/12</f>
        <v>191244.35866666667</v>
      </c>
    </row>
    <row r="12" spans="2:25" ht="14.25" customHeight="1" x14ac:dyDescent="0.2">
      <c r="B12" s="14" t="s">
        <v>61</v>
      </c>
      <c r="C12" s="15">
        <f>SUM(C7:C11)</f>
        <v>4065689.6000000001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3.4111186575549648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168058.95999999996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168058.95999999996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1248058.96</v>
      </c>
      <c r="T15" s="2" t="s">
        <v>4</v>
      </c>
      <c r="U15" s="21">
        <f>C4</f>
        <v>652357.20000000019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8178046.8000000007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7.9769316067010057E-2</v>
      </c>
    </row>
    <row r="18" spans="2:22" ht="14.25" customHeight="1" x14ac:dyDescent="0.2">
      <c r="H18" s="1" t="s">
        <v>79</v>
      </c>
      <c r="I18" s="6">
        <v>400000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9918046.8000000007</v>
      </c>
      <c r="H19" s="14" t="s">
        <v>82</v>
      </c>
      <c r="I19" s="15">
        <f>SUM(I18)</f>
        <v>400000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716800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885800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2294932.304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T23" s="49" t="s">
        <v>94</v>
      </c>
      <c r="U23" s="50">
        <f>C30</f>
        <v>1740000</v>
      </c>
    </row>
    <row r="24" spans="2:22" ht="14.25" customHeight="1" x14ac:dyDescent="0.2">
      <c r="B24" s="1" t="s">
        <v>95</v>
      </c>
      <c r="C24" s="6"/>
      <c r="H24" s="51" t="s">
        <v>96</v>
      </c>
      <c r="I24" s="52">
        <f>F8-I22</f>
        <v>38153.535999999847</v>
      </c>
      <c r="J24" s="53"/>
      <c r="T24" s="2" t="s">
        <v>39</v>
      </c>
      <c r="U24" s="21">
        <f>C19</f>
        <v>9918046.8000000007</v>
      </c>
    </row>
    <row r="25" spans="2:22" ht="14.25" customHeight="1" x14ac:dyDescent="0.2">
      <c r="B25" s="14" t="s">
        <v>97</v>
      </c>
      <c r="C25" s="15">
        <f>SUM(C24)</f>
        <v>0</v>
      </c>
      <c r="H25" s="51" t="s">
        <v>98</v>
      </c>
      <c r="I25" s="52">
        <f>I24/12</f>
        <v>3179.4613333333205</v>
      </c>
      <c r="T25" s="28"/>
      <c r="U25" s="38">
        <f>U23/U24</f>
        <v>0.17543776865420718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68" t="s">
        <v>102</v>
      </c>
      <c r="C27" s="6">
        <f>'3_'!C27-'3_'!I6</f>
        <v>1740000</v>
      </c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1740000</v>
      </c>
      <c r="T28" s="2" t="s">
        <v>106</v>
      </c>
      <c r="U28" s="21">
        <f>I6+C25</f>
        <v>348000</v>
      </c>
    </row>
    <row r="29" spans="2:22" ht="14.25" customHeight="1" x14ac:dyDescent="0.2">
      <c r="T29" s="2" t="s">
        <v>107</v>
      </c>
      <c r="U29" s="21">
        <f>F8</f>
        <v>2333085.84</v>
      </c>
    </row>
    <row r="30" spans="2:22" ht="14.25" customHeight="1" x14ac:dyDescent="0.2">
      <c r="B30" s="41" t="s">
        <v>94</v>
      </c>
      <c r="C30" s="42">
        <f>C28+C25</f>
        <v>1740000</v>
      </c>
      <c r="T30" s="28"/>
      <c r="U30" s="38">
        <f>U28/U29</f>
        <v>0.14915867819076903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9918046.8000000007</v>
      </c>
      <c r="T33" s="2" t="s">
        <v>115</v>
      </c>
      <c r="U33" s="21">
        <f>C24</f>
        <v>0</v>
      </c>
    </row>
    <row r="34" spans="1:22" ht="14.25" customHeight="1" x14ac:dyDescent="0.2">
      <c r="B34" s="41" t="s">
        <v>116</v>
      </c>
      <c r="C34" s="42">
        <f>C30</f>
        <v>1740000</v>
      </c>
      <c r="T34" s="2" t="s">
        <v>107</v>
      </c>
      <c r="U34" s="21">
        <f>F8</f>
        <v>2333085.84</v>
      </c>
    </row>
    <row r="35" spans="1:22" ht="14.25" customHeight="1" x14ac:dyDescent="0.2">
      <c r="T35" s="28"/>
      <c r="U35" s="38">
        <f>U33/U34</f>
        <v>0</v>
      </c>
    </row>
    <row r="36" spans="1:22" ht="14.25" customHeight="1" x14ac:dyDescent="0.2">
      <c r="B36" s="54" t="s">
        <v>119</v>
      </c>
      <c r="C36" s="55">
        <f>C33-C34</f>
        <v>8178046.8000000007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>
        <v>45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>E39+E46+E50</f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>+E40+E41+E42+E43+E44+E47+E48+E51</f>
        <v>139139</v>
      </c>
      <c r="H40" s="56"/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478676.34400000004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2333085.84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0.20516876652939614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>
        <v>44</v>
      </c>
      <c r="E45" s="61">
        <f>SUM(E39:E44)</f>
        <v>86381</v>
      </c>
      <c r="G45" s="60"/>
      <c r="H45" s="5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4065689.6000000001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8178046.8000000007</v>
      </c>
    </row>
    <row r="48" spans="1:22" ht="14.25" customHeight="1" x14ac:dyDescent="0.2">
      <c r="B48" s="59" t="s">
        <v>139</v>
      </c>
      <c r="E48" s="7">
        <v>6764</v>
      </c>
      <c r="H48" s="56"/>
      <c r="T48" s="28"/>
      <c r="U48" s="38">
        <f>U46/U47</f>
        <v>0.49714677592698536</v>
      </c>
    </row>
    <row r="49" spans="1:21" ht="14.25" customHeight="1" x14ac:dyDescent="0.2">
      <c r="A49" s="1">
        <v>16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2333085.84</v>
      </c>
      <c r="G54" s="32">
        <f>E54/F54</f>
        <v>7.7835541618991616E-2</v>
      </c>
      <c r="T54" s="9" t="s">
        <v>149</v>
      </c>
      <c r="U54" s="30" t="s">
        <v>150</v>
      </c>
    </row>
    <row r="55" spans="1:21" ht="14.25" customHeight="1" x14ac:dyDescent="0.2">
      <c r="G55" s="56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516829.87999999989</v>
      </c>
    </row>
    <row r="57" spans="1:21" ht="14.25" customHeight="1" x14ac:dyDescent="0.2">
      <c r="G57" s="56"/>
      <c r="H57" s="56"/>
      <c r="T57" s="2" t="s">
        <v>138</v>
      </c>
      <c r="U57" s="21">
        <f>F8</f>
        <v>2333085.84</v>
      </c>
    </row>
    <row r="58" spans="1:21" ht="14.25" customHeight="1" x14ac:dyDescent="0.2">
      <c r="B58" s="32"/>
      <c r="G58" s="56"/>
      <c r="H58" s="56"/>
      <c r="T58" s="28"/>
      <c r="U58" s="38">
        <f>U56/U57</f>
        <v>0.22152201652383263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438" priority="1" operator="lessThan">
      <formula>1.01</formula>
    </cfRule>
    <cfRule type="cellIs" dxfId="437" priority="2" operator="greaterThan">
      <formula>1</formula>
    </cfRule>
  </conditionalFormatting>
  <conditionalFormatting sqref="U12">
    <cfRule type="cellIs" dxfId="436" priority="3" operator="greaterThan">
      <formula>12</formula>
    </cfRule>
    <cfRule type="cellIs" dxfId="435" priority="4" operator="lessThan">
      <formula>3</formula>
    </cfRule>
    <cfRule type="cellIs" dxfId="434" priority="5" operator="between">
      <formula>3</formula>
      <formula>12</formula>
    </cfRule>
  </conditionalFormatting>
  <conditionalFormatting sqref="U17">
    <cfRule type="cellIs" dxfId="433" priority="6" operator="equal">
      <formula>0.15</formula>
    </cfRule>
    <cfRule type="cellIs" dxfId="432" priority="7" operator="greaterThan">
      <formula>0.15</formula>
    </cfRule>
    <cfRule type="cellIs" dxfId="431" priority="8" operator="lessThan">
      <formula>0.15</formula>
    </cfRule>
  </conditionalFormatting>
  <conditionalFormatting sqref="U25">
    <cfRule type="cellIs" dxfId="430" priority="9" operator="greaterThan">
      <formula>0.499</formula>
    </cfRule>
    <cfRule type="cellIs" dxfId="429" priority="10" operator="lessThan">
      <formula>0.5</formula>
    </cfRule>
  </conditionalFormatting>
  <conditionalFormatting sqref="U30">
    <cfRule type="cellIs" dxfId="428" priority="11" operator="greaterThan">
      <formula>0.45</formula>
    </cfRule>
    <cfRule type="cellIs" dxfId="427" priority="12" operator="between">
      <formula>0.35</formula>
      <formula>0.45</formula>
    </cfRule>
    <cfRule type="cellIs" dxfId="426" priority="13" operator="lessThan">
      <formula>0.35</formula>
    </cfRule>
  </conditionalFormatting>
  <conditionalFormatting sqref="U35">
    <cfRule type="cellIs" dxfId="425" priority="14" operator="greaterThan">
      <formula>0.2</formula>
    </cfRule>
    <cfRule type="cellIs" dxfId="424" priority="15" operator="between">
      <formula>0.15</formula>
      <formula>0.2</formula>
    </cfRule>
    <cfRule type="cellIs" dxfId="423" priority="16" operator="lessThan">
      <formula>0.15</formula>
    </cfRule>
  </conditionalFormatting>
  <conditionalFormatting sqref="U43">
    <cfRule type="cellIs" dxfId="422" priority="17" operator="lessThan">
      <formula>0.101</formula>
    </cfRule>
    <cfRule type="cellIs" dxfId="421" priority="18" operator="greaterThan">
      <formula>0.1</formula>
    </cfRule>
  </conditionalFormatting>
  <conditionalFormatting sqref="U48">
    <cfRule type="cellIs" dxfId="420" priority="19" operator="lessThan">
      <formula>0.5</formula>
    </cfRule>
    <cfRule type="cellIs" dxfId="419" priority="20" operator="greaterThan">
      <formula>0.499</formula>
    </cfRule>
  </conditionalFormatting>
  <conditionalFormatting sqref="Y8">
    <cfRule type="cellIs" dxfId="418" priority="21" operator="lessThan">
      <formula>0.501</formula>
    </cfRule>
    <cfRule type="cellIs" dxfId="417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workbookViewId="0"/>
  </sheetViews>
  <sheetFormatPr defaultColWidth="12.625" defaultRowHeight="15" customHeight="1" x14ac:dyDescent="0.2"/>
  <cols>
    <col min="1" max="1" width="8.75" customWidth="1"/>
    <col min="2" max="2" width="37.75" customWidth="1"/>
    <col min="3" max="3" width="12.375" customWidth="1"/>
    <col min="4" max="4" width="10.375" customWidth="1"/>
    <col min="5" max="5" width="33.625" customWidth="1"/>
    <col min="6" max="6" width="11.625" customWidth="1"/>
    <col min="7" max="7" width="8.75" customWidth="1"/>
    <col min="8" max="8" width="41.25" customWidth="1"/>
    <col min="9" max="9" width="11.375" customWidth="1"/>
    <col min="10" max="11" width="8.75" customWidth="1"/>
    <col min="12" max="12" width="13.25" customWidth="1"/>
    <col min="13" max="13" width="19.375" customWidth="1"/>
    <col min="14" max="14" width="9.25" customWidth="1"/>
    <col min="15" max="15" width="8.125" customWidth="1"/>
    <col min="16" max="16" width="11.375" customWidth="1"/>
    <col min="17" max="19" width="8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f>'4_'!C3+'4_'!I24</f>
        <v>690510.73600000003</v>
      </c>
      <c r="E3" s="68" t="s">
        <v>10</v>
      </c>
      <c r="F3" s="6">
        <f>VLOOKUP(E3,CFP!$AA$32:$AK$37,6,FALSE)</f>
        <v>1620732.6864000002</v>
      </c>
      <c r="H3" s="1" t="s">
        <v>11</v>
      </c>
      <c r="I3" s="7">
        <f>12000+G39</f>
        <v>54458</v>
      </c>
      <c r="J3" s="6"/>
      <c r="L3" s="8">
        <f>L4-M21</f>
        <v>1275176.9152000002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690510.73600000003</v>
      </c>
      <c r="E4" s="68" t="s">
        <v>15</v>
      </c>
      <c r="F4" s="6">
        <f>VLOOKUP(E4,CFP!$AA$32:$AK$37,6,FALSE)</f>
        <v>540244.22880000004</v>
      </c>
      <c r="H4" s="1" t="s">
        <v>16</v>
      </c>
      <c r="I4" s="7">
        <f>4100+G40</f>
        <v>143239</v>
      </c>
      <c r="L4" s="16">
        <f>SUM(F3:F4)</f>
        <v>2160976.9152000002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VLOOKUP(E5,CFP!$AA$32:$AK$37,6,FALSE)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690510.73600000003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VLOOKUP(E6,CFP!$AA$32:$AK$37,6,FALSE)</f>
        <v>15750</v>
      </c>
      <c r="H6" s="1" t="s">
        <v>30</v>
      </c>
      <c r="I6" s="7">
        <v>348000</v>
      </c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0</v>
      </c>
      <c r="X6" s="19" t="s">
        <v>33</v>
      </c>
      <c r="Y6" s="26">
        <f>C36</f>
        <v>8968553.0240000002</v>
      </c>
    </row>
    <row r="7" spans="2:25" ht="14.25" customHeight="1" x14ac:dyDescent="0.2">
      <c r="B7" s="1" t="s">
        <v>34</v>
      </c>
      <c r="C7" s="6"/>
      <c r="E7" s="70" t="s">
        <v>35</v>
      </c>
      <c r="F7" s="6"/>
      <c r="H7" s="68" t="s">
        <v>36</v>
      </c>
      <c r="I7" s="7">
        <f>F3*0.05</f>
        <v>81036.634320000012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 t="e">
        <f>U5/U6</f>
        <v>#DIV/0!</v>
      </c>
      <c r="V7" s="1" t="s">
        <v>38</v>
      </c>
      <c r="X7" s="19" t="s">
        <v>39</v>
      </c>
      <c r="Y7" s="26">
        <f>C19</f>
        <v>10360553.024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2392726.9152000002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0.86564423764103504</v>
      </c>
    </row>
    <row r="9" spans="2:25" ht="14.25" customHeight="1" x14ac:dyDescent="0.2">
      <c r="B9" s="1" t="s">
        <v>50</v>
      </c>
      <c r="C9" s="6">
        <f>'4_'!C9+'4_'!I18</f>
        <v>2050000</v>
      </c>
      <c r="F9" s="6"/>
      <c r="H9" s="14" t="s">
        <v>51</v>
      </c>
      <c r="I9" s="15">
        <f>SUM(I3:I8)</f>
        <v>649233.63431999995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f>'4_'!C10+'4_'!I7*2</f>
        <v>1672442.2880000002</v>
      </c>
      <c r="F10" s="6">
        <f>F8*0.15</f>
        <v>358909.03727999999</v>
      </c>
      <c r="L10" s="34"/>
      <c r="M10" s="22" t="s">
        <v>56</v>
      </c>
      <c r="N10" s="23">
        <f>IF((L3-N6-N7-N8-N9)&gt;=250000,250000,(L3-N6-N7-N8-N9))</f>
        <v>250000</v>
      </c>
      <c r="O10" s="24">
        <v>0.2</v>
      </c>
      <c r="P10" s="25">
        <f t="shared" si="0"/>
        <v>50000</v>
      </c>
      <c r="S10" s="17"/>
      <c r="T10" s="2" t="s">
        <v>4</v>
      </c>
      <c r="U10" s="21">
        <f>C4</f>
        <v>690510.73600000003</v>
      </c>
    </row>
    <row r="11" spans="2:25" ht="14.25" customHeight="1" x14ac:dyDescent="0.2">
      <c r="B11" s="68" t="s">
        <v>57</v>
      </c>
      <c r="C11" s="6">
        <f>CFP!AM12</f>
        <v>147600</v>
      </c>
      <c r="H11" s="1" t="s">
        <v>58</v>
      </c>
      <c r="M11" s="22" t="s">
        <v>59</v>
      </c>
      <c r="N11" s="23">
        <f>IF((L3-N6-N7-N8-N9-N10)&gt;=1000000,1000000,(L3-N6-N7-N8-N9-N10))</f>
        <v>275176.91520000016</v>
      </c>
      <c r="O11" s="24">
        <v>0.25</v>
      </c>
      <c r="P11" s="25">
        <f t="shared" si="0"/>
        <v>68794.228800000041</v>
      </c>
      <c r="S11" s="17"/>
      <c r="T11" s="2" t="s">
        <v>60</v>
      </c>
      <c r="U11" s="21">
        <f>I22/12</f>
        <v>192752.32192666666</v>
      </c>
    </row>
    <row r="12" spans="2:25" ht="14.25" customHeight="1" x14ac:dyDescent="0.2">
      <c r="B12" s="14" t="s">
        <v>61</v>
      </c>
      <c r="C12" s="15">
        <f>SUM(C7:C11)</f>
        <v>4470042.2880000006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3.5823731153947262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183794.22880000004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183794.22880000004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1263794.2288000002</v>
      </c>
      <c r="T15" s="2" t="s">
        <v>4</v>
      </c>
      <c r="U15" s="21">
        <f>C4</f>
        <v>690510.73600000003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8968553.0240000002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7.6992435028502546E-2</v>
      </c>
    </row>
    <row r="18" spans="2:22" ht="14.25" customHeight="1" x14ac:dyDescent="0.2">
      <c r="H18" s="1" t="s">
        <v>160</v>
      </c>
      <c r="I18" s="6">
        <v>400000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10360553.024</v>
      </c>
      <c r="H19" s="14" t="s">
        <v>82</v>
      </c>
      <c r="I19" s="15">
        <f>SUM(I18)</f>
        <v>400000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716800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885800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2313027.8631199999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T23" s="49" t="s">
        <v>94</v>
      </c>
      <c r="U23" s="50">
        <f>C30</f>
        <v>1392000</v>
      </c>
    </row>
    <row r="24" spans="2:22" ht="14.25" customHeight="1" x14ac:dyDescent="0.2">
      <c r="B24" s="1" t="s">
        <v>95</v>
      </c>
      <c r="C24" s="6"/>
      <c r="H24" s="51" t="s">
        <v>96</v>
      </c>
      <c r="I24" s="52">
        <f>F8-I22</f>
        <v>79699.052080000285</v>
      </c>
      <c r="J24" s="53"/>
      <c r="T24" s="2" t="s">
        <v>39</v>
      </c>
      <c r="U24" s="21">
        <f>C19</f>
        <v>10360553.024</v>
      </c>
    </row>
    <row r="25" spans="2:22" ht="14.25" customHeight="1" x14ac:dyDescent="0.2">
      <c r="B25" s="14" t="s">
        <v>97</v>
      </c>
      <c r="C25" s="15">
        <f>SUM(C24)</f>
        <v>0</v>
      </c>
      <c r="H25" s="51" t="s">
        <v>98</v>
      </c>
      <c r="I25" s="52">
        <f>I24/12</f>
        <v>6641.5876733333571</v>
      </c>
      <c r="T25" s="28"/>
      <c r="U25" s="38">
        <f>U23/U24</f>
        <v>0.13435576235896499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68" t="s">
        <v>102</v>
      </c>
      <c r="C27" s="6">
        <f>'4_'!C27-'4_'!I6</f>
        <v>1392000</v>
      </c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1392000</v>
      </c>
      <c r="T28" s="2" t="s">
        <v>106</v>
      </c>
      <c r="U28" s="21">
        <f>I6+C25</f>
        <v>348000</v>
      </c>
    </row>
    <row r="29" spans="2:22" ht="14.25" customHeight="1" x14ac:dyDescent="0.2">
      <c r="T29" s="2" t="s">
        <v>107</v>
      </c>
      <c r="U29" s="21">
        <f>F8</f>
        <v>2392726.9152000002</v>
      </c>
    </row>
    <row r="30" spans="2:22" ht="14.25" customHeight="1" x14ac:dyDescent="0.2">
      <c r="B30" s="41" t="s">
        <v>94</v>
      </c>
      <c r="C30" s="42">
        <f>C28+C25</f>
        <v>1392000</v>
      </c>
      <c r="T30" s="28"/>
      <c r="U30" s="38">
        <f>U28/U29</f>
        <v>0.1454407512154022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10360553.024</v>
      </c>
      <c r="T33" s="2" t="s">
        <v>115</v>
      </c>
      <c r="U33" s="21">
        <f>C24</f>
        <v>0</v>
      </c>
    </row>
    <row r="34" spans="1:22" ht="14.25" customHeight="1" x14ac:dyDescent="0.2">
      <c r="B34" s="41" t="s">
        <v>116</v>
      </c>
      <c r="C34" s="42">
        <f>C30</f>
        <v>1392000</v>
      </c>
      <c r="T34" s="2" t="s">
        <v>107</v>
      </c>
      <c r="U34" s="21">
        <f>F8</f>
        <v>2392726.9152000002</v>
      </c>
    </row>
    <row r="35" spans="1:22" ht="14.25" customHeight="1" x14ac:dyDescent="0.2">
      <c r="T35" s="28"/>
      <c r="U35" s="38">
        <f>U33/U34</f>
        <v>0</v>
      </c>
    </row>
    <row r="36" spans="1:22" ht="14.25" customHeight="1" x14ac:dyDescent="0.2">
      <c r="B36" s="54" t="s">
        <v>119</v>
      </c>
      <c r="C36" s="55">
        <f>C33-C34</f>
        <v>8968553.0240000002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>
        <v>45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>E39+E46+E50</f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>+E40+E41+E42+E43+E44+E47+E48+E51</f>
        <v>139139</v>
      </c>
      <c r="H40" s="56"/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481036.63432000001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2392726.9152000002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0.20104117660238371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>
        <v>44</v>
      </c>
      <c r="E45" s="61">
        <f>SUM(E39:E44)</f>
        <v>86381</v>
      </c>
      <c r="G45" s="60"/>
      <c r="H45" s="5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4470042.2880000006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8968553.0240000002</v>
      </c>
    </row>
    <row r="48" spans="1:22" ht="14.25" customHeight="1" x14ac:dyDescent="0.2">
      <c r="B48" s="59" t="s">
        <v>139</v>
      </c>
      <c r="E48" s="7">
        <v>6764</v>
      </c>
      <c r="H48" s="56"/>
      <c r="T48" s="28"/>
      <c r="U48" s="38">
        <f>U46/U47</f>
        <v>0.49841287396507461</v>
      </c>
    </row>
    <row r="49" spans="1:21" ht="14.25" customHeight="1" x14ac:dyDescent="0.2">
      <c r="A49" s="1">
        <v>16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2392726.9152000002</v>
      </c>
      <c r="G54" s="32">
        <f>E54/F54</f>
        <v>7.5895414076044235E-2</v>
      </c>
      <c r="T54" s="9" t="s">
        <v>149</v>
      </c>
      <c r="U54" s="30" t="s">
        <v>150</v>
      </c>
    </row>
    <row r="55" spans="1:21" ht="14.25" customHeight="1" x14ac:dyDescent="0.2">
      <c r="G55" s="56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560735.68640000024</v>
      </c>
    </row>
    <row r="57" spans="1:21" ht="14.25" customHeight="1" x14ac:dyDescent="0.2">
      <c r="G57" s="56"/>
      <c r="H57" s="56"/>
      <c r="T57" s="2" t="s">
        <v>138</v>
      </c>
      <c r="U57" s="21">
        <f>F8</f>
        <v>2392726.9152000002</v>
      </c>
    </row>
    <row r="58" spans="1:21" ht="14.25" customHeight="1" x14ac:dyDescent="0.2">
      <c r="B58" s="32"/>
      <c r="G58" s="56"/>
      <c r="H58" s="56"/>
      <c r="T58" s="28"/>
      <c r="U58" s="38">
        <f>U56/U57</f>
        <v>0.23435005592902364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416" priority="1" operator="lessThan">
      <formula>1.01</formula>
    </cfRule>
    <cfRule type="cellIs" dxfId="415" priority="2" operator="greaterThan">
      <formula>1</formula>
    </cfRule>
  </conditionalFormatting>
  <conditionalFormatting sqref="U12">
    <cfRule type="cellIs" dxfId="414" priority="3" operator="greaterThan">
      <formula>12</formula>
    </cfRule>
    <cfRule type="cellIs" dxfId="413" priority="4" operator="lessThan">
      <formula>3</formula>
    </cfRule>
    <cfRule type="cellIs" dxfId="412" priority="5" operator="between">
      <formula>3</formula>
      <formula>12</formula>
    </cfRule>
  </conditionalFormatting>
  <conditionalFormatting sqref="U17">
    <cfRule type="cellIs" dxfId="411" priority="6" operator="equal">
      <formula>0.15</formula>
    </cfRule>
    <cfRule type="cellIs" dxfId="410" priority="7" operator="greaterThan">
      <formula>0.15</formula>
    </cfRule>
    <cfRule type="cellIs" dxfId="409" priority="8" operator="lessThan">
      <formula>0.15</formula>
    </cfRule>
  </conditionalFormatting>
  <conditionalFormatting sqref="U25">
    <cfRule type="cellIs" dxfId="408" priority="9" operator="greaterThan">
      <formula>0.499</formula>
    </cfRule>
    <cfRule type="cellIs" dxfId="407" priority="10" operator="lessThan">
      <formula>0.5</formula>
    </cfRule>
  </conditionalFormatting>
  <conditionalFormatting sqref="U30">
    <cfRule type="cellIs" dxfId="406" priority="11" operator="greaterThan">
      <formula>0.45</formula>
    </cfRule>
    <cfRule type="cellIs" dxfId="405" priority="12" operator="between">
      <formula>0.35</formula>
      <formula>0.45</formula>
    </cfRule>
    <cfRule type="cellIs" dxfId="404" priority="13" operator="lessThan">
      <formula>0.35</formula>
    </cfRule>
  </conditionalFormatting>
  <conditionalFormatting sqref="U35">
    <cfRule type="cellIs" dxfId="403" priority="14" operator="greaterThan">
      <formula>0.2</formula>
    </cfRule>
    <cfRule type="cellIs" dxfId="402" priority="15" operator="between">
      <formula>0.15</formula>
      <formula>0.2</formula>
    </cfRule>
    <cfRule type="cellIs" dxfId="401" priority="16" operator="lessThan">
      <formula>0.15</formula>
    </cfRule>
  </conditionalFormatting>
  <conditionalFormatting sqref="U43">
    <cfRule type="cellIs" dxfId="400" priority="17" operator="lessThan">
      <formula>0.101</formula>
    </cfRule>
    <cfRule type="cellIs" dxfId="399" priority="18" operator="greaterThan">
      <formula>0.1</formula>
    </cfRule>
  </conditionalFormatting>
  <conditionalFormatting sqref="U48">
    <cfRule type="cellIs" dxfId="398" priority="19" operator="lessThan">
      <formula>0.5</formula>
    </cfRule>
    <cfRule type="cellIs" dxfId="397" priority="20" operator="greaterThan">
      <formula>0.499</formula>
    </cfRule>
  </conditionalFormatting>
  <conditionalFormatting sqref="Y8">
    <cfRule type="cellIs" dxfId="396" priority="21" operator="lessThan">
      <formula>0.501</formula>
    </cfRule>
    <cfRule type="cellIs" dxfId="395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workbookViewId="0"/>
  </sheetViews>
  <sheetFormatPr defaultColWidth="12.625" defaultRowHeight="15" customHeight="1" x14ac:dyDescent="0.2"/>
  <cols>
    <col min="1" max="1" width="8.75" customWidth="1"/>
    <col min="2" max="2" width="37.75" customWidth="1"/>
    <col min="3" max="3" width="12.375" customWidth="1"/>
    <col min="4" max="4" width="10.375" customWidth="1"/>
    <col min="5" max="5" width="33.625" customWidth="1"/>
    <col min="6" max="6" width="11.625" customWidth="1"/>
    <col min="7" max="7" width="8.75" customWidth="1"/>
    <col min="8" max="8" width="41.25" customWidth="1"/>
    <col min="9" max="9" width="11.375" customWidth="1"/>
    <col min="10" max="11" width="8.75" customWidth="1"/>
    <col min="12" max="12" width="13.25" customWidth="1"/>
    <col min="13" max="13" width="19.375" customWidth="1"/>
    <col min="14" max="14" width="9.25" customWidth="1"/>
    <col min="15" max="15" width="8.125" customWidth="1"/>
    <col min="16" max="16" width="11.375" customWidth="1"/>
    <col min="17" max="19" width="8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f>'5_'!C3+'5_'!I24</f>
        <v>770209.78808000032</v>
      </c>
      <c r="E3" s="68" t="s">
        <v>10</v>
      </c>
      <c r="F3" s="6">
        <f>VLOOKUP(E3,CFP!$AA$32:$AK$37,7,FALSE)</f>
        <v>1669354.6669920003</v>
      </c>
      <c r="H3" s="1" t="s">
        <v>11</v>
      </c>
      <c r="I3" s="7">
        <f>12000+G39</f>
        <v>54458</v>
      </c>
      <c r="J3" s="6"/>
      <c r="L3" s="8">
        <f>L4-M21</f>
        <v>1240006.2226560004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770209.78808000032</v>
      </c>
      <c r="E4" s="68" t="s">
        <v>15</v>
      </c>
      <c r="F4" s="6">
        <f>VLOOKUP(E4,CFP!$AA$32:$AK$37,7,FALSE)</f>
        <v>556451.5556640001</v>
      </c>
      <c r="H4" s="1" t="s">
        <v>16</v>
      </c>
      <c r="I4" s="7">
        <f>4100+G40</f>
        <v>143239</v>
      </c>
      <c r="L4" s="16">
        <f>SUM(F3:F4)</f>
        <v>2225806.2226560004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VLOOKUP(E5,CFP!$AA$32:$AK$37,7,FALSE)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770209.78808000032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VLOOKUP(E6,CFP!$AA$32:$AK$37,7,FALSE)</f>
        <v>15750</v>
      </c>
      <c r="H6" s="1" t="s">
        <v>30</v>
      </c>
      <c r="I6" s="7">
        <v>348000</v>
      </c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0</v>
      </c>
      <c r="X6" s="19" t="s">
        <v>33</v>
      </c>
      <c r="Y6" s="26">
        <f>C36</f>
        <v>9970925.3447200004</v>
      </c>
    </row>
    <row r="7" spans="2:25" ht="14.25" customHeight="1" x14ac:dyDescent="0.2">
      <c r="B7" s="1" t="s">
        <v>34</v>
      </c>
      <c r="C7" s="6"/>
      <c r="E7" s="1" t="s">
        <v>35</v>
      </c>
      <c r="F7" s="6"/>
      <c r="H7" s="68" t="s">
        <v>36</v>
      </c>
      <c r="I7" s="7">
        <f>F3*0.05</f>
        <v>83467.733349600021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 t="e">
        <f>U5/U6</f>
        <v>#DIV/0!</v>
      </c>
      <c r="V7" s="1" t="s">
        <v>38</v>
      </c>
      <c r="X7" s="19" t="s">
        <v>39</v>
      </c>
      <c r="Y7" s="26">
        <f>C19</f>
        <v>11014925.34472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2457556.2226560004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0.90521951195062422</v>
      </c>
    </row>
    <row r="9" spans="2:25" ht="14.25" customHeight="1" x14ac:dyDescent="0.2">
      <c r="B9" s="1" t="s">
        <v>50</v>
      </c>
      <c r="C9" s="6">
        <f>'5_'!C9+'5_'!I18</f>
        <v>2450000</v>
      </c>
      <c r="F9" s="6"/>
      <c r="H9" s="14" t="s">
        <v>51</v>
      </c>
      <c r="I9" s="15">
        <f>SUM(I3:I8)</f>
        <v>651664.73334959999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f>'5_'!C10+'5_'!I7*2</f>
        <v>1834515.5566400001</v>
      </c>
      <c r="F10" s="6">
        <f>F8*0.15</f>
        <v>368633.43339840003</v>
      </c>
      <c r="L10" s="34"/>
      <c r="M10" s="22" t="s">
        <v>56</v>
      </c>
      <c r="N10" s="23">
        <f>IF((L3-N6-N7-N8-N9)&gt;=250000,250000,(L3-N6-N7-N8-N9))</f>
        <v>250000</v>
      </c>
      <c r="O10" s="24">
        <v>0.2</v>
      </c>
      <c r="P10" s="25">
        <f t="shared" si="0"/>
        <v>50000</v>
      </c>
      <c r="S10" s="17"/>
      <c r="T10" s="2" t="s">
        <v>4</v>
      </c>
      <c r="U10" s="21">
        <f>C4</f>
        <v>770209.78808000032</v>
      </c>
    </row>
    <row r="11" spans="2:25" ht="14.25" customHeight="1" x14ac:dyDescent="0.2">
      <c r="B11" s="68" t="s">
        <v>57</v>
      </c>
      <c r="C11" s="6">
        <f>CFP!AN12</f>
        <v>160200</v>
      </c>
      <c r="H11" s="1" t="s">
        <v>58</v>
      </c>
      <c r="M11" s="22" t="s">
        <v>59</v>
      </c>
      <c r="N11" s="23">
        <f>IF((L3-N6-N7-N8-N9-N10)&gt;=1000000,1000000,(L3-N6-N7-N8-N9-N10))</f>
        <v>240006.22265600041</v>
      </c>
      <c r="O11" s="24">
        <v>0.25</v>
      </c>
      <c r="P11" s="25">
        <f t="shared" si="0"/>
        <v>60001.555664000101</v>
      </c>
      <c r="S11" s="17"/>
      <c r="T11" s="2" t="s">
        <v>60</v>
      </c>
      <c r="U11" s="21">
        <f>I22/12</f>
        <v>200555.52408446666</v>
      </c>
    </row>
    <row r="12" spans="2:25" ht="14.25" customHeight="1" x14ac:dyDescent="0.2">
      <c r="B12" s="14" t="s">
        <v>61</v>
      </c>
      <c r="C12" s="15">
        <f>SUM(C7:C11)</f>
        <v>5044715.5566400001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3.8403818174343387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175001.5556640001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175001.5556640001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1255001.5556640001</v>
      </c>
      <c r="T15" s="2" t="s">
        <v>4</v>
      </c>
      <c r="U15" s="21">
        <f>C4</f>
        <v>770209.78808000032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9970925.3447200004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7.7245567633084017E-2</v>
      </c>
    </row>
    <row r="18" spans="2:22" ht="14.25" customHeight="1" x14ac:dyDescent="0.2">
      <c r="H18" s="1" t="s">
        <v>79</v>
      </c>
      <c r="I18" s="6">
        <v>500000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11014925.34472</v>
      </c>
      <c r="H19" s="14" t="s">
        <v>82</v>
      </c>
      <c r="I19" s="15">
        <f>SUM(I18)</f>
        <v>500000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816800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985800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2406666.2890136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M23" s="11"/>
      <c r="T23" s="49" t="s">
        <v>94</v>
      </c>
      <c r="U23" s="50">
        <f>C30</f>
        <v>1044000</v>
      </c>
    </row>
    <row r="24" spans="2:22" ht="14.25" customHeight="1" x14ac:dyDescent="0.2">
      <c r="B24" s="1" t="s">
        <v>95</v>
      </c>
      <c r="C24" s="6"/>
      <c r="H24" s="51" t="s">
        <v>96</v>
      </c>
      <c r="I24" s="52">
        <f>F8-I22</f>
        <v>50889.933642400429</v>
      </c>
      <c r="J24" s="53"/>
      <c r="T24" s="2" t="s">
        <v>39</v>
      </c>
      <c r="U24" s="21">
        <f>C19</f>
        <v>11014925.34472</v>
      </c>
    </row>
    <row r="25" spans="2:22" ht="14.25" customHeight="1" x14ac:dyDescent="0.2">
      <c r="B25" s="14" t="s">
        <v>97</v>
      </c>
      <c r="C25" s="15">
        <f>SUM(C24)</f>
        <v>0</v>
      </c>
      <c r="H25" s="51" t="s">
        <v>98</v>
      </c>
      <c r="I25" s="52">
        <f>I24/12</f>
        <v>4240.8278035333688</v>
      </c>
      <c r="T25" s="28"/>
      <c r="U25" s="38">
        <f>U23/U24</f>
        <v>9.478048804937575E-2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68" t="s">
        <v>102</v>
      </c>
      <c r="C27" s="6">
        <f>'5_'!C27-'5_'!I6</f>
        <v>1044000</v>
      </c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1044000</v>
      </c>
      <c r="T28" s="2" t="s">
        <v>106</v>
      </c>
      <c r="U28" s="21">
        <f>I6+C25</f>
        <v>348000</v>
      </c>
    </row>
    <row r="29" spans="2:22" ht="14.25" customHeight="1" x14ac:dyDescent="0.2">
      <c r="T29" s="2" t="s">
        <v>107</v>
      </c>
      <c r="U29" s="21">
        <f>F8</f>
        <v>2457556.2226560004</v>
      </c>
    </row>
    <row r="30" spans="2:22" ht="14.25" customHeight="1" x14ac:dyDescent="0.2">
      <c r="B30" s="41" t="s">
        <v>94</v>
      </c>
      <c r="C30" s="42">
        <f>C28+C25</f>
        <v>1044000</v>
      </c>
      <c r="T30" s="28"/>
      <c r="U30" s="38">
        <f>U28/U29</f>
        <v>0.14160408490020199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11014925.34472</v>
      </c>
      <c r="T33" s="2" t="s">
        <v>115</v>
      </c>
      <c r="U33" s="21">
        <f>C24</f>
        <v>0</v>
      </c>
    </row>
    <row r="34" spans="1:22" ht="14.25" customHeight="1" x14ac:dyDescent="0.2">
      <c r="B34" s="41" t="s">
        <v>116</v>
      </c>
      <c r="C34" s="42">
        <f>C30</f>
        <v>1044000</v>
      </c>
      <c r="T34" s="2" t="s">
        <v>107</v>
      </c>
      <c r="U34" s="21">
        <f>F8</f>
        <v>2457556.2226560004</v>
      </c>
    </row>
    <row r="35" spans="1:22" ht="14.25" customHeight="1" x14ac:dyDescent="0.2">
      <c r="T35" s="28"/>
      <c r="U35" s="38">
        <f>U33/U34</f>
        <v>0</v>
      </c>
    </row>
    <row r="36" spans="1:22" ht="14.25" customHeight="1" x14ac:dyDescent="0.2">
      <c r="B36" s="54" t="s">
        <v>119</v>
      </c>
      <c r="C36" s="55">
        <f>C33-C34</f>
        <v>9970925.3447200004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>
        <v>45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>E39+E46+E50</f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>+E40+E41+E42+E43+E44+E47+E48+E51</f>
        <v>139139</v>
      </c>
      <c r="H40" s="56"/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583467.73334959999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2457556.2226560004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0.23741785761426776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>
        <v>44</v>
      </c>
      <c r="E45" s="61">
        <f>SUM(E39:E44)</f>
        <v>86381</v>
      </c>
      <c r="G45" s="60"/>
      <c r="H45" s="5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5044715.5566400001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9970925.3447200004</v>
      </c>
    </row>
    <row r="48" spans="1:22" ht="14.25" customHeight="1" x14ac:dyDescent="0.2">
      <c r="B48" s="59" t="s">
        <v>139</v>
      </c>
      <c r="E48" s="7">
        <v>6764</v>
      </c>
      <c r="H48" s="56"/>
      <c r="T48" s="28"/>
      <c r="U48" s="38">
        <f>U46/U47</f>
        <v>0.50594256623447453</v>
      </c>
    </row>
    <row r="49" spans="1:21" ht="14.25" customHeight="1" x14ac:dyDescent="0.2">
      <c r="A49" s="1">
        <v>16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2457556.2226560004</v>
      </c>
      <c r="G54" s="32">
        <f>E54/F54</f>
        <v>7.3893324728798795E-2</v>
      </c>
      <c r="T54" s="9" t="s">
        <v>149</v>
      </c>
      <c r="U54" s="30" t="s">
        <v>150</v>
      </c>
    </row>
    <row r="55" spans="1:21" ht="14.25" customHeight="1" x14ac:dyDescent="0.2">
      <c r="G55" s="56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634357.66699200042</v>
      </c>
    </row>
    <row r="57" spans="1:21" ht="14.25" customHeight="1" x14ac:dyDescent="0.2">
      <c r="G57" s="56"/>
      <c r="H57" s="56"/>
      <c r="T57" s="2" t="s">
        <v>138</v>
      </c>
      <c r="U57" s="21">
        <f>F8</f>
        <v>2457556.2226560004</v>
      </c>
    </row>
    <row r="58" spans="1:21" ht="14.25" customHeight="1" x14ac:dyDescent="0.2">
      <c r="B58" s="32"/>
      <c r="G58" s="56"/>
      <c r="H58" s="56"/>
      <c r="T58" s="28"/>
      <c r="U58" s="38">
        <f>U56/U57</f>
        <v>0.25812539348801522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394" priority="1" operator="lessThan">
      <formula>1.01</formula>
    </cfRule>
    <cfRule type="cellIs" dxfId="393" priority="2" operator="greaterThan">
      <formula>1</formula>
    </cfRule>
  </conditionalFormatting>
  <conditionalFormatting sqref="U12">
    <cfRule type="cellIs" dxfId="392" priority="3" operator="greaterThan">
      <formula>12</formula>
    </cfRule>
    <cfRule type="cellIs" dxfId="391" priority="4" operator="lessThan">
      <formula>3</formula>
    </cfRule>
    <cfRule type="cellIs" dxfId="390" priority="5" operator="between">
      <formula>3</formula>
      <formula>12</formula>
    </cfRule>
  </conditionalFormatting>
  <conditionalFormatting sqref="U17">
    <cfRule type="cellIs" dxfId="389" priority="6" operator="equal">
      <formula>0.15</formula>
    </cfRule>
    <cfRule type="cellIs" dxfId="388" priority="7" operator="greaterThan">
      <formula>0.15</formula>
    </cfRule>
    <cfRule type="cellIs" dxfId="387" priority="8" operator="lessThan">
      <formula>0.15</formula>
    </cfRule>
  </conditionalFormatting>
  <conditionalFormatting sqref="U25">
    <cfRule type="cellIs" dxfId="386" priority="9" operator="greaterThan">
      <formula>0.499</formula>
    </cfRule>
    <cfRule type="cellIs" dxfId="385" priority="10" operator="lessThan">
      <formula>0.5</formula>
    </cfRule>
  </conditionalFormatting>
  <conditionalFormatting sqref="U30">
    <cfRule type="cellIs" dxfId="384" priority="11" operator="greaterThan">
      <formula>0.45</formula>
    </cfRule>
    <cfRule type="cellIs" dxfId="383" priority="12" operator="between">
      <formula>0.35</formula>
      <formula>0.45</formula>
    </cfRule>
    <cfRule type="cellIs" dxfId="382" priority="13" operator="lessThan">
      <formula>0.35</formula>
    </cfRule>
  </conditionalFormatting>
  <conditionalFormatting sqref="U35">
    <cfRule type="cellIs" dxfId="381" priority="14" operator="greaterThan">
      <formula>0.2</formula>
    </cfRule>
    <cfRule type="cellIs" dxfId="380" priority="15" operator="between">
      <formula>0.15</formula>
      <formula>0.2</formula>
    </cfRule>
    <cfRule type="cellIs" dxfId="379" priority="16" operator="lessThan">
      <formula>0.15</formula>
    </cfRule>
  </conditionalFormatting>
  <conditionalFormatting sqref="U43">
    <cfRule type="cellIs" dxfId="378" priority="17" operator="lessThan">
      <formula>0.101</formula>
    </cfRule>
    <cfRule type="cellIs" dxfId="377" priority="18" operator="greaterThan">
      <formula>0.1</formula>
    </cfRule>
  </conditionalFormatting>
  <conditionalFormatting sqref="U48">
    <cfRule type="cellIs" dxfId="376" priority="19" operator="lessThan">
      <formula>0.5</formula>
    </cfRule>
    <cfRule type="cellIs" dxfId="375" priority="20" operator="greaterThan">
      <formula>0.499</formula>
    </cfRule>
  </conditionalFormatting>
  <conditionalFormatting sqref="Y8">
    <cfRule type="cellIs" dxfId="374" priority="21" operator="lessThan">
      <formula>0.501</formula>
    </cfRule>
    <cfRule type="cellIs" dxfId="373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workbookViewId="0"/>
  </sheetViews>
  <sheetFormatPr defaultColWidth="12.625" defaultRowHeight="15" customHeight="1" x14ac:dyDescent="0.2"/>
  <cols>
    <col min="1" max="1" width="8.75" customWidth="1"/>
    <col min="2" max="2" width="37.75" customWidth="1"/>
    <col min="3" max="3" width="12.375" customWidth="1"/>
    <col min="4" max="4" width="10.375" customWidth="1"/>
    <col min="5" max="5" width="33.625" customWidth="1"/>
    <col min="6" max="6" width="11.625" customWidth="1"/>
    <col min="7" max="7" width="8.75" customWidth="1"/>
    <col min="8" max="8" width="41.25" customWidth="1"/>
    <col min="9" max="9" width="11.375" customWidth="1"/>
    <col min="10" max="11" width="8.75" customWidth="1"/>
    <col min="12" max="12" width="13.25" customWidth="1"/>
    <col min="13" max="13" width="19.375" customWidth="1"/>
    <col min="14" max="14" width="9.25" customWidth="1"/>
    <col min="15" max="15" width="8.125" customWidth="1"/>
    <col min="16" max="16" width="10.75" customWidth="1"/>
    <col min="17" max="19" width="8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f>'6_'!C3+'6_'!I24</f>
        <v>821099.72172240075</v>
      </c>
      <c r="E3" s="68" t="s">
        <v>10</v>
      </c>
      <c r="F3" s="6">
        <f>VLOOKUP(E3,CFP!$AA$32:$AK$37,8,FALSE)</f>
        <v>1719435.3070017605</v>
      </c>
      <c r="H3" s="1" t="s">
        <v>11</v>
      </c>
      <c r="I3" s="7">
        <f>12000+G39</f>
        <v>54458</v>
      </c>
      <c r="J3" s="6"/>
      <c r="L3" s="8">
        <f>L4-M21</f>
        <v>1306780.4093356803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821099.72172240075</v>
      </c>
      <c r="E4" s="68" t="s">
        <v>15</v>
      </c>
      <c r="F4" s="6">
        <f>VLOOKUP(E4,CFP!$AA$32:$AK$37,8,FALSE)</f>
        <v>573145.10233392008</v>
      </c>
      <c r="H4" s="1" t="s">
        <v>16</v>
      </c>
      <c r="I4" s="7">
        <f>4100+G40</f>
        <v>143239</v>
      </c>
      <c r="L4" s="16">
        <f>SUM(F3:F4)</f>
        <v>2292580.4093356803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VLOOKUP(E5,CFP!$AA$32:$AK$37,8,FALSE)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821099.72172240075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VLOOKUP(E6,CFP!$AA$32:$AK$37,8,FALSE)</f>
        <v>15750</v>
      </c>
      <c r="H6" s="1" t="s">
        <v>30</v>
      </c>
      <c r="I6" s="7">
        <v>348000</v>
      </c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0</v>
      </c>
      <c r="X6" s="19" t="s">
        <v>33</v>
      </c>
      <c r="Y6" s="26">
        <f>C36</f>
        <v>11049950.745061601</v>
      </c>
    </row>
    <row r="7" spans="2:25" ht="14.25" customHeight="1" x14ac:dyDescent="0.2">
      <c r="B7" s="1" t="s">
        <v>34</v>
      </c>
      <c r="C7" s="6"/>
      <c r="E7" s="1" t="s">
        <v>35</v>
      </c>
      <c r="F7" s="6"/>
      <c r="H7" s="68" t="s">
        <v>36</v>
      </c>
      <c r="I7" s="7">
        <f>F3*0.05</f>
        <v>85971.765350088026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 t="e">
        <f>U5/U6</f>
        <v>#DIV/0!</v>
      </c>
      <c r="V7" s="1" t="s">
        <v>38</v>
      </c>
      <c r="X7" s="19" t="s">
        <v>39</v>
      </c>
      <c r="Y7" s="26">
        <f>C19</f>
        <v>11745950.745061601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2524330.4093356803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0.94074553732548027</v>
      </c>
    </row>
    <row r="9" spans="2:25" ht="14.25" customHeight="1" x14ac:dyDescent="0.2">
      <c r="B9" s="1" t="s">
        <v>50</v>
      </c>
      <c r="C9" s="6">
        <f>'6_'!C9+'6_'!I18</f>
        <v>2950000</v>
      </c>
      <c r="F9" s="6"/>
      <c r="H9" s="14" t="s">
        <v>51</v>
      </c>
      <c r="I9" s="15">
        <f>SUM(I3:I8)</f>
        <v>654168.76535008801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f>'6_'!C10+'6_'!I7*2</f>
        <v>2001451.0233392001</v>
      </c>
      <c r="F10" s="6">
        <f>F8*0.15</f>
        <v>378649.56140035205</v>
      </c>
      <c r="L10" s="34"/>
      <c r="M10" s="22" t="s">
        <v>56</v>
      </c>
      <c r="N10" s="23">
        <f>IF((L3-N6-N7-N8-N9)&gt;=250000,250000,(L3-N6-N7-N8-N9))</f>
        <v>250000</v>
      </c>
      <c r="O10" s="24">
        <v>0.2</v>
      </c>
      <c r="P10" s="25">
        <f t="shared" si="0"/>
        <v>50000</v>
      </c>
      <c r="S10" s="17"/>
      <c r="T10" s="2" t="s">
        <v>4</v>
      </c>
      <c r="U10" s="21">
        <f>C4</f>
        <v>821099.72172240075</v>
      </c>
    </row>
    <row r="11" spans="2:25" ht="14.25" customHeight="1" x14ac:dyDescent="0.2">
      <c r="B11" s="68" t="s">
        <v>57</v>
      </c>
      <c r="C11" s="6">
        <f>CFP!AO12</f>
        <v>173400</v>
      </c>
      <c r="H11" s="1" t="s">
        <v>58</v>
      </c>
      <c r="M11" s="22" t="s">
        <v>59</v>
      </c>
      <c r="N11" s="23">
        <f>IF((L3-N6-N7-N8-N9-N10)&gt;=1000000,1000000,(L3-N6-N7-N8-N9-N10))</f>
        <v>306780.40933568031</v>
      </c>
      <c r="O11" s="24">
        <v>0.25</v>
      </c>
      <c r="P11" s="25">
        <f t="shared" si="0"/>
        <v>76695.102333920076</v>
      </c>
      <c r="S11" s="17"/>
      <c r="T11" s="2" t="s">
        <v>60</v>
      </c>
      <c r="U11" s="21">
        <f>I22/12</f>
        <v>202155.32230700066</v>
      </c>
    </row>
    <row r="12" spans="2:25" ht="14.25" customHeight="1" x14ac:dyDescent="0.2">
      <c r="B12" s="14" t="s">
        <v>61</v>
      </c>
      <c r="C12" s="15">
        <f>SUM(C7:C11)</f>
        <v>5724851.0233391998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4.0617269550561117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191695.10233392008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191695.10233392008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1271695.1023339201</v>
      </c>
      <c r="T15" s="2" t="s">
        <v>4</v>
      </c>
      <c r="U15" s="21">
        <f>C4</f>
        <v>821099.72172240075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11049950.745061601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7.4307998349165794E-2</v>
      </c>
    </row>
    <row r="18" spans="2:22" ht="14.25" customHeight="1" x14ac:dyDescent="0.2">
      <c r="H18" s="1" t="s">
        <v>79</v>
      </c>
      <c r="I18" s="6">
        <v>500000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11745950.745061601</v>
      </c>
      <c r="H19" s="14" t="s">
        <v>82</v>
      </c>
      <c r="I19" s="15">
        <f>SUM(I18)</f>
        <v>500000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816800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985800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2425863.8676840081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T23" s="49" t="s">
        <v>94</v>
      </c>
      <c r="U23" s="50">
        <f>C30</f>
        <v>696000</v>
      </c>
    </row>
    <row r="24" spans="2:22" ht="14.25" customHeight="1" x14ac:dyDescent="0.2">
      <c r="B24" s="1" t="s">
        <v>95</v>
      </c>
      <c r="C24" s="6"/>
      <c r="H24" s="51" t="s">
        <v>96</v>
      </c>
      <c r="I24" s="52">
        <f>F8-I22</f>
        <v>98466.541651672218</v>
      </c>
      <c r="J24" s="53"/>
      <c r="T24" s="2" t="s">
        <v>39</v>
      </c>
      <c r="U24" s="21">
        <f>C19</f>
        <v>11745950.745061601</v>
      </c>
    </row>
    <row r="25" spans="2:22" ht="14.25" customHeight="1" x14ac:dyDescent="0.2">
      <c r="B25" s="14" t="s">
        <v>97</v>
      </c>
      <c r="C25" s="15">
        <f>SUM(C24)</f>
        <v>0</v>
      </c>
      <c r="H25" s="51" t="s">
        <v>98</v>
      </c>
      <c r="I25" s="52">
        <f>I24/12</f>
        <v>8205.5451376393521</v>
      </c>
      <c r="T25" s="28"/>
      <c r="U25" s="38">
        <f>U23/U24</f>
        <v>5.9254462674519746E-2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68" t="s">
        <v>102</v>
      </c>
      <c r="C27" s="6">
        <f>'6_'!C27-'6_'!I6</f>
        <v>696000</v>
      </c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696000</v>
      </c>
      <c r="T28" s="2" t="s">
        <v>106</v>
      </c>
      <c r="U28" s="21">
        <f>I6+C25</f>
        <v>348000</v>
      </c>
    </row>
    <row r="29" spans="2:22" ht="14.25" customHeight="1" x14ac:dyDescent="0.2">
      <c r="T29" s="2" t="s">
        <v>107</v>
      </c>
      <c r="U29" s="21">
        <f>F8</f>
        <v>2524330.4093356803</v>
      </c>
    </row>
    <row r="30" spans="2:22" ht="14.25" customHeight="1" x14ac:dyDescent="0.2">
      <c r="B30" s="41" t="s">
        <v>94</v>
      </c>
      <c r="C30" s="42">
        <f>C28+C25</f>
        <v>696000</v>
      </c>
      <c r="T30" s="28"/>
      <c r="U30" s="38">
        <f>U28/U29</f>
        <v>0.13785834006237796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11745950.745061601</v>
      </c>
      <c r="T33" s="2" t="s">
        <v>115</v>
      </c>
      <c r="U33" s="21">
        <f>C24</f>
        <v>0</v>
      </c>
    </row>
    <row r="34" spans="1:22" ht="14.25" customHeight="1" x14ac:dyDescent="0.2">
      <c r="B34" s="41" t="s">
        <v>116</v>
      </c>
      <c r="C34" s="42">
        <f>C30</f>
        <v>696000</v>
      </c>
      <c r="T34" s="2" t="s">
        <v>107</v>
      </c>
      <c r="U34" s="21">
        <f>F8</f>
        <v>2524330.4093356803</v>
      </c>
    </row>
    <row r="35" spans="1:22" ht="14.25" customHeight="1" x14ac:dyDescent="0.2">
      <c r="T35" s="28"/>
      <c r="U35" s="38">
        <f>U33/U34</f>
        <v>0</v>
      </c>
    </row>
    <row r="36" spans="1:22" ht="14.25" customHeight="1" x14ac:dyDescent="0.2">
      <c r="B36" s="54" t="s">
        <v>119</v>
      </c>
      <c r="C36" s="55">
        <f>C33-C34</f>
        <v>11049950.745061601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>
        <v>45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>E39+E46+E50</f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>+E40+E41+E42+E43+E44+E47+E48+E51</f>
        <v>139139</v>
      </c>
      <c r="H40" s="56"/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585971.76535008801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2524330.4093356803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0.23212958303041489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>
        <v>44</v>
      </c>
      <c r="E45" s="61">
        <f>SUM(E39:E44)</f>
        <v>86381</v>
      </c>
      <c r="G45" s="60"/>
      <c r="H45" s="5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5724851.0233391998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11049950.745061601</v>
      </c>
    </row>
    <row r="48" spans="1:22" ht="14.25" customHeight="1" x14ac:dyDescent="0.2">
      <c r="B48" s="59" t="s">
        <v>139</v>
      </c>
      <c r="E48" s="7">
        <v>6764</v>
      </c>
      <c r="H48" s="56"/>
      <c r="T48" s="28"/>
      <c r="U48" s="38">
        <f>U46/U47</f>
        <v>0.51808837481902148</v>
      </c>
    </row>
    <row r="49" spans="1:21" ht="14.25" customHeight="1" x14ac:dyDescent="0.2">
      <c r="A49" s="1">
        <v>16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2524330.4093356803</v>
      </c>
      <c r="G54" s="32">
        <f>E54/F54</f>
        <v>7.1938680977895547E-2</v>
      </c>
      <c r="T54" s="9" t="s">
        <v>149</v>
      </c>
      <c r="U54" s="30" t="s">
        <v>150</v>
      </c>
    </row>
    <row r="55" spans="1:21" ht="14.25" customHeight="1" x14ac:dyDescent="0.2">
      <c r="G55" s="56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684438.30700176023</v>
      </c>
    </row>
    <row r="57" spans="1:21" ht="14.25" customHeight="1" x14ac:dyDescent="0.2">
      <c r="G57" s="56"/>
      <c r="H57" s="56"/>
      <c r="T57" s="2" t="s">
        <v>138</v>
      </c>
      <c r="U57" s="21">
        <f>F8</f>
        <v>2524330.4093356803</v>
      </c>
    </row>
    <row r="58" spans="1:21" ht="14.25" customHeight="1" x14ac:dyDescent="0.2">
      <c r="B58" s="32"/>
      <c r="G58" s="56"/>
      <c r="H58" s="56"/>
      <c r="T58" s="28"/>
      <c r="U58" s="38">
        <f>U56/U57</f>
        <v>0.27113657723668655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372" priority="1" operator="lessThan">
      <formula>1.01</formula>
    </cfRule>
    <cfRule type="cellIs" dxfId="371" priority="2" operator="greaterThan">
      <formula>1</formula>
    </cfRule>
  </conditionalFormatting>
  <conditionalFormatting sqref="U12">
    <cfRule type="cellIs" dxfId="370" priority="3" operator="greaterThan">
      <formula>12</formula>
    </cfRule>
    <cfRule type="cellIs" dxfId="369" priority="4" operator="lessThan">
      <formula>3</formula>
    </cfRule>
    <cfRule type="cellIs" dxfId="368" priority="5" operator="between">
      <formula>3</formula>
      <formula>12</formula>
    </cfRule>
  </conditionalFormatting>
  <conditionalFormatting sqref="U17">
    <cfRule type="cellIs" dxfId="367" priority="6" operator="equal">
      <formula>0.15</formula>
    </cfRule>
    <cfRule type="cellIs" dxfId="366" priority="7" operator="greaterThan">
      <formula>0.15</formula>
    </cfRule>
    <cfRule type="cellIs" dxfId="365" priority="8" operator="lessThan">
      <formula>0.15</formula>
    </cfRule>
  </conditionalFormatting>
  <conditionalFormatting sqref="U25">
    <cfRule type="cellIs" dxfId="364" priority="9" operator="greaterThan">
      <formula>0.499</formula>
    </cfRule>
    <cfRule type="cellIs" dxfId="363" priority="10" operator="lessThan">
      <formula>0.5</formula>
    </cfRule>
  </conditionalFormatting>
  <conditionalFormatting sqref="U30">
    <cfRule type="cellIs" dxfId="362" priority="11" operator="greaterThan">
      <formula>0.45</formula>
    </cfRule>
    <cfRule type="cellIs" dxfId="361" priority="12" operator="between">
      <formula>0.35</formula>
      <formula>0.45</formula>
    </cfRule>
    <cfRule type="cellIs" dxfId="360" priority="13" operator="lessThan">
      <formula>0.35</formula>
    </cfRule>
  </conditionalFormatting>
  <conditionalFormatting sqref="U35">
    <cfRule type="cellIs" dxfId="359" priority="14" operator="greaterThan">
      <formula>0.2</formula>
    </cfRule>
    <cfRule type="cellIs" dxfId="358" priority="15" operator="between">
      <formula>0.15</formula>
      <formula>0.2</formula>
    </cfRule>
    <cfRule type="cellIs" dxfId="357" priority="16" operator="lessThan">
      <formula>0.15</formula>
    </cfRule>
  </conditionalFormatting>
  <conditionalFormatting sqref="U43">
    <cfRule type="cellIs" dxfId="356" priority="17" operator="lessThan">
      <formula>0.101</formula>
    </cfRule>
    <cfRule type="cellIs" dxfId="355" priority="18" operator="greaterThan">
      <formula>0.1</formula>
    </cfRule>
  </conditionalFormatting>
  <conditionalFormatting sqref="U48">
    <cfRule type="cellIs" dxfId="354" priority="19" operator="lessThan">
      <formula>0.5</formula>
    </cfRule>
    <cfRule type="cellIs" dxfId="353" priority="20" operator="greaterThan">
      <formula>0.499</formula>
    </cfRule>
  </conditionalFormatting>
  <conditionalFormatting sqref="Y8">
    <cfRule type="cellIs" dxfId="352" priority="21" operator="lessThan">
      <formula>0.501</formula>
    </cfRule>
    <cfRule type="cellIs" dxfId="351" priority="22" operator="greaterThan">
      <formula>0.5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workbookViewId="0"/>
  </sheetViews>
  <sheetFormatPr defaultColWidth="12.625" defaultRowHeight="15" customHeight="1" x14ac:dyDescent="0.2"/>
  <cols>
    <col min="1" max="1" width="8.75" customWidth="1"/>
    <col min="2" max="2" width="37.75" customWidth="1"/>
    <col min="3" max="3" width="12.375" customWidth="1"/>
    <col min="4" max="4" width="10.375" customWidth="1"/>
    <col min="5" max="5" width="33.625" customWidth="1"/>
    <col min="6" max="6" width="11.125" customWidth="1"/>
    <col min="7" max="7" width="8.75" customWidth="1"/>
    <col min="8" max="8" width="41.25" customWidth="1"/>
    <col min="9" max="9" width="11.375" customWidth="1"/>
    <col min="10" max="11" width="8.75" customWidth="1"/>
    <col min="12" max="12" width="13.25" customWidth="1"/>
    <col min="13" max="13" width="19.375" customWidth="1"/>
    <col min="14" max="14" width="9.25" customWidth="1"/>
    <col min="15" max="15" width="8.125" customWidth="1"/>
    <col min="16" max="16" width="11.375" customWidth="1"/>
    <col min="17" max="19" width="8.75" customWidth="1"/>
    <col min="20" max="20" width="28.375" customWidth="1"/>
    <col min="21" max="21" width="44.375" customWidth="1"/>
    <col min="22" max="23" width="8.75" customWidth="1"/>
    <col min="24" max="24" width="22.75" customWidth="1"/>
    <col min="25" max="25" width="39.875" customWidth="1"/>
    <col min="26" max="26" width="14.375" customWidth="1"/>
  </cols>
  <sheetData>
    <row r="1" spans="2:25" ht="14.25" customHeight="1" x14ac:dyDescent="0.2"/>
    <row r="2" spans="2:25" ht="14.25" customHeight="1" x14ac:dyDescent="0.2">
      <c r="B2" s="1" t="s">
        <v>4</v>
      </c>
      <c r="E2" s="1" t="s">
        <v>5</v>
      </c>
      <c r="H2" s="1" t="s">
        <v>6</v>
      </c>
      <c r="T2" s="2" t="s">
        <v>7</v>
      </c>
      <c r="U2" s="3" t="s">
        <v>8</v>
      </c>
    </row>
    <row r="3" spans="2:25" ht="14.25" customHeight="1" x14ac:dyDescent="0.2">
      <c r="B3" s="68" t="s">
        <v>9</v>
      </c>
      <c r="C3" s="6">
        <f>'7_'!C3+'7_'!I24</f>
        <v>919566.26337407297</v>
      </c>
      <c r="E3" s="68" t="s">
        <v>10</v>
      </c>
      <c r="F3" s="6">
        <f>VLOOKUP(E3,CFP!$AA$32:$AK$37,9,FALSE)</f>
        <v>1771018.3662118134</v>
      </c>
      <c r="H3" s="1" t="s">
        <v>11</v>
      </c>
      <c r="I3" s="7">
        <f>12000+G39</f>
        <v>54458</v>
      </c>
      <c r="J3" s="6"/>
      <c r="L3" s="8">
        <f>L4-M21</f>
        <v>1275557.8216157509</v>
      </c>
      <c r="T3" s="9" t="s">
        <v>12</v>
      </c>
      <c r="U3" s="10" t="s">
        <v>13</v>
      </c>
    </row>
    <row r="4" spans="2:25" ht="14.25" customHeight="1" x14ac:dyDescent="0.2">
      <c r="B4" s="14" t="s">
        <v>14</v>
      </c>
      <c r="C4" s="15">
        <f>SUM(C3)</f>
        <v>919566.26337407297</v>
      </c>
      <c r="E4" s="68" t="s">
        <v>15</v>
      </c>
      <c r="F4" s="6">
        <f>VLOOKUP(E4,CFP!$AA$32:$AK$37,9,FALSE)</f>
        <v>590339.45540393773</v>
      </c>
      <c r="H4" s="1" t="s">
        <v>16</v>
      </c>
      <c r="I4" s="7">
        <f>4100+G40</f>
        <v>143239</v>
      </c>
      <c r="L4" s="16">
        <f>SUM(F3:F4)</f>
        <v>2361357.8216157509</v>
      </c>
      <c r="S4" s="17" t="s">
        <v>17</v>
      </c>
      <c r="T4" s="18" t="s">
        <v>18</v>
      </c>
      <c r="U4" s="18" t="s">
        <v>19</v>
      </c>
      <c r="X4" s="19" t="s">
        <v>20</v>
      </c>
      <c r="Y4" s="19" t="s">
        <v>21</v>
      </c>
    </row>
    <row r="5" spans="2:25" ht="14.25" customHeight="1" x14ac:dyDescent="0.2">
      <c r="E5" s="1" t="s">
        <v>22</v>
      </c>
      <c r="F5" s="6">
        <f>VLOOKUP(E5,CFP!$AA$32:$AK$37,9,FALSE)</f>
        <v>216000</v>
      </c>
      <c r="H5" s="1" t="s">
        <v>23</v>
      </c>
      <c r="I5" s="7">
        <v>12000</v>
      </c>
      <c r="J5" s="6"/>
      <c r="M5" s="20" t="s">
        <v>24</v>
      </c>
      <c r="N5" s="20" t="s">
        <v>25</v>
      </c>
      <c r="O5" s="20" t="s">
        <v>26</v>
      </c>
      <c r="S5" s="17"/>
      <c r="T5" s="2" t="s">
        <v>4</v>
      </c>
      <c r="U5" s="21">
        <f>C4</f>
        <v>919566.26337407297</v>
      </c>
      <c r="X5" s="19"/>
      <c r="Y5" s="19" t="s">
        <v>27</v>
      </c>
    </row>
    <row r="6" spans="2:25" ht="14.25" customHeight="1" x14ac:dyDescent="0.2">
      <c r="B6" s="1" t="s">
        <v>28</v>
      </c>
      <c r="E6" s="1" t="s">
        <v>29</v>
      </c>
      <c r="F6" s="6">
        <f>VLOOKUP(E6,CFP!$AA$32:$AK$37,9,FALSE)</f>
        <v>15750</v>
      </c>
      <c r="H6" s="1" t="s">
        <v>30</v>
      </c>
      <c r="I6" s="7">
        <v>348000</v>
      </c>
      <c r="J6" s="6"/>
      <c r="M6" s="22" t="s">
        <v>31</v>
      </c>
      <c r="N6" s="23">
        <f>IF(L3&gt;=150000,150000,0)</f>
        <v>150000</v>
      </c>
      <c r="O6" s="24">
        <v>0</v>
      </c>
      <c r="P6" s="25">
        <f t="shared" ref="P6:P13" si="0">N6*O6</f>
        <v>0</v>
      </c>
      <c r="S6" s="17"/>
      <c r="T6" s="2" t="s">
        <v>32</v>
      </c>
      <c r="U6" s="21">
        <f>C25</f>
        <v>0</v>
      </c>
      <c r="X6" s="19" t="s">
        <v>33</v>
      </c>
      <c r="Y6" s="26">
        <f>C36</f>
        <v>12168360.817413449</v>
      </c>
    </row>
    <row r="7" spans="2:25" ht="14.25" customHeight="1" x14ac:dyDescent="0.2">
      <c r="B7" s="1" t="s">
        <v>34</v>
      </c>
      <c r="C7" s="6"/>
      <c r="E7" s="1" t="s">
        <v>35</v>
      </c>
      <c r="F7" s="6"/>
      <c r="H7" s="68" t="s">
        <v>36</v>
      </c>
      <c r="I7" s="7">
        <f>F3*0.05</f>
        <v>88550.91831059067</v>
      </c>
      <c r="L7" s="27"/>
      <c r="M7" s="22" t="s">
        <v>37</v>
      </c>
      <c r="N7" s="23">
        <f>IF((L3-N6)&gt;=150000,150000,(L3-N6))</f>
        <v>150000</v>
      </c>
      <c r="O7" s="24">
        <v>0.05</v>
      </c>
      <c r="P7" s="25">
        <f t="shared" si="0"/>
        <v>7500</v>
      </c>
      <c r="S7" s="17"/>
      <c r="T7" s="28"/>
      <c r="U7" s="29" t="e">
        <f>U5/U6</f>
        <v>#DIV/0!</v>
      </c>
      <c r="V7" s="1" t="s">
        <v>38</v>
      </c>
      <c r="X7" s="19" t="s">
        <v>39</v>
      </c>
      <c r="Y7" s="26">
        <f>C19</f>
        <v>12516360.817413449</v>
      </c>
    </row>
    <row r="8" spans="2:25" ht="14.25" customHeight="1" x14ac:dyDescent="0.2">
      <c r="B8" s="1" t="s">
        <v>43</v>
      </c>
      <c r="C8" s="6">
        <v>600000</v>
      </c>
      <c r="E8" s="14" t="s">
        <v>44</v>
      </c>
      <c r="F8" s="15">
        <f>SUM(F3:F7)</f>
        <v>2593107.8216157509</v>
      </c>
      <c r="H8" s="1" t="s">
        <v>45</v>
      </c>
      <c r="I8" s="7">
        <v>10500</v>
      </c>
      <c r="M8" s="22" t="s">
        <v>46</v>
      </c>
      <c r="N8" s="23">
        <f>IF((L3-N6-N7)&gt;=200000,200000,(L3-N6-N7))</f>
        <v>200000</v>
      </c>
      <c r="O8" s="24">
        <v>0.1</v>
      </c>
      <c r="P8" s="25">
        <f t="shared" si="0"/>
        <v>20000</v>
      </c>
      <c r="S8" s="17"/>
      <c r="T8" s="9" t="s">
        <v>47</v>
      </c>
      <c r="U8" s="30" t="s">
        <v>48</v>
      </c>
      <c r="X8" s="31" t="s">
        <v>49</v>
      </c>
      <c r="Y8" s="32">
        <f>Y6/Y7</f>
        <v>0.97219639118138534</v>
      </c>
    </row>
    <row r="9" spans="2:25" ht="14.25" customHeight="1" x14ac:dyDescent="0.2">
      <c r="B9" s="1" t="s">
        <v>50</v>
      </c>
      <c r="C9" s="6">
        <f>'7_'!C9+'7_'!I18</f>
        <v>3450000</v>
      </c>
      <c r="F9" s="6"/>
      <c r="H9" s="14" t="s">
        <v>51</v>
      </c>
      <c r="I9" s="15">
        <f>SUM(I3:I8)</f>
        <v>656747.91831059067</v>
      </c>
      <c r="M9" s="22" t="s">
        <v>52</v>
      </c>
      <c r="N9" s="23">
        <f>IF((L3-N6-N7-N8)&gt;=250000,250000,(L3-N6-N7-N8))</f>
        <v>250000</v>
      </c>
      <c r="O9" s="24">
        <v>0.15</v>
      </c>
      <c r="P9" s="25">
        <f t="shared" si="0"/>
        <v>37500</v>
      </c>
      <c r="S9" s="17" t="s">
        <v>17</v>
      </c>
      <c r="T9" s="18" t="s">
        <v>53</v>
      </c>
      <c r="U9" s="33" t="s">
        <v>54</v>
      </c>
    </row>
    <row r="10" spans="2:25" ht="14.25" customHeight="1" x14ac:dyDescent="0.2">
      <c r="B10" s="68" t="s">
        <v>55</v>
      </c>
      <c r="C10" s="6">
        <f>'7_'!C10+'7_'!I7*2</f>
        <v>2173394.5540393763</v>
      </c>
      <c r="F10" s="6">
        <f>F8*0.15</f>
        <v>388966.17324236262</v>
      </c>
      <c r="L10" s="34"/>
      <c r="M10" s="22" t="s">
        <v>56</v>
      </c>
      <c r="N10" s="23">
        <f>IF((L3-N6-N7-N8-N9)&gt;=250000,250000,(L3-N6-N7-N8-N9))</f>
        <v>250000</v>
      </c>
      <c r="O10" s="24">
        <v>0.2</v>
      </c>
      <c r="P10" s="25">
        <f t="shared" si="0"/>
        <v>50000</v>
      </c>
      <c r="S10" s="17"/>
      <c r="T10" s="2" t="s">
        <v>4</v>
      </c>
      <c r="U10" s="21">
        <f>C4</f>
        <v>919566.26337407297</v>
      </c>
    </row>
    <row r="11" spans="2:25" ht="14.25" customHeight="1" x14ac:dyDescent="0.2">
      <c r="B11" s="68" t="s">
        <v>57</v>
      </c>
      <c r="C11" s="6">
        <f>'7_'!C11</f>
        <v>173400</v>
      </c>
      <c r="H11" s="1" t="s">
        <v>58</v>
      </c>
      <c r="M11" s="22" t="s">
        <v>59</v>
      </c>
      <c r="N11" s="23">
        <f>IF((L3-N6-N7-N8-N9-N10)&gt;=1000000,1000000,(L3-N6-N7-N8-N9-N10))</f>
        <v>275557.8216157509</v>
      </c>
      <c r="O11" s="24">
        <v>0.25</v>
      </c>
      <c r="P11" s="25">
        <f t="shared" si="0"/>
        <v>68889.455403937725</v>
      </c>
      <c r="S11" s="17"/>
      <c r="T11" s="2" t="s">
        <v>60</v>
      </c>
      <c r="U11" s="21">
        <f>I22/12</f>
        <v>210053.1144762107</v>
      </c>
    </row>
    <row r="12" spans="2:25" ht="14.25" customHeight="1" x14ac:dyDescent="0.2">
      <c r="B12" s="14" t="s">
        <v>61</v>
      </c>
      <c r="C12" s="15">
        <f>SUM(C7:C11)</f>
        <v>6396794.5540393759</v>
      </c>
      <c r="H12" s="1" t="s">
        <v>62</v>
      </c>
      <c r="I12" s="6">
        <v>900000</v>
      </c>
      <c r="M12" s="22" t="s">
        <v>63</v>
      </c>
      <c r="N12" s="23">
        <f>IF((L3-N6-N7-N8-N9-N10-N11)&gt;=3000000,3000000,(L3-N6-N7-N8-N9-N10-N11))</f>
        <v>0</v>
      </c>
      <c r="O12" s="24">
        <v>0.3</v>
      </c>
      <c r="P12" s="25">
        <f t="shared" si="0"/>
        <v>0</v>
      </c>
      <c r="S12" s="17"/>
      <c r="T12" s="28"/>
      <c r="U12" s="29">
        <f>U10/U11</f>
        <v>4.3777797137981374</v>
      </c>
      <c r="V12" s="1" t="s">
        <v>64</v>
      </c>
    </row>
    <row r="13" spans="2:25" ht="14.25" customHeight="1" x14ac:dyDescent="0.2">
      <c r="H13" s="68" t="s">
        <v>65</v>
      </c>
      <c r="I13" s="6">
        <f>P14</f>
        <v>183889.45540393773</v>
      </c>
      <c r="M13" s="22" t="s">
        <v>66</v>
      </c>
      <c r="N13" s="23">
        <f>L3-N6-N7-N8-N9-N10-N11-N12</f>
        <v>0</v>
      </c>
      <c r="O13" s="24">
        <v>0.35</v>
      </c>
      <c r="P13" s="25">
        <f t="shared" si="0"/>
        <v>0</v>
      </c>
      <c r="S13" s="17"/>
      <c r="T13" s="9" t="s">
        <v>67</v>
      </c>
      <c r="U13" s="30" t="s">
        <v>68</v>
      </c>
    </row>
    <row r="14" spans="2:25" ht="14.25" customHeight="1" x14ac:dyDescent="0.2">
      <c r="B14" s="1" t="s">
        <v>69</v>
      </c>
      <c r="H14" s="1" t="s">
        <v>70</v>
      </c>
      <c r="I14" s="6">
        <v>180000</v>
      </c>
      <c r="P14" s="35">
        <f>SUM(P6:P13)</f>
        <v>183889.45540393773</v>
      </c>
      <c r="S14" s="17" t="s">
        <v>17</v>
      </c>
      <c r="T14" s="36">
        <v>0.15</v>
      </c>
      <c r="U14" s="33" t="s">
        <v>71</v>
      </c>
    </row>
    <row r="15" spans="2:25" ht="14.25" customHeight="1" x14ac:dyDescent="0.2">
      <c r="B15" s="1" t="s">
        <v>72</v>
      </c>
      <c r="C15" s="6">
        <v>4000000</v>
      </c>
      <c r="H15" s="14" t="s">
        <v>73</v>
      </c>
      <c r="I15" s="15">
        <f>SUM(I12:I14)</f>
        <v>1263889.4554039377</v>
      </c>
      <c r="T15" s="2" t="s">
        <v>4</v>
      </c>
      <c r="U15" s="21">
        <f>C4</f>
        <v>919566.26337407297</v>
      </c>
    </row>
    <row r="16" spans="2:25" ht="14.25" customHeight="1" x14ac:dyDescent="0.2">
      <c r="B16" s="1" t="s">
        <v>74</v>
      </c>
      <c r="C16" s="6">
        <v>1200000</v>
      </c>
      <c r="L16" s="101" t="s">
        <v>75</v>
      </c>
      <c r="M16" s="102"/>
      <c r="T16" s="2" t="s">
        <v>33</v>
      </c>
      <c r="U16" s="21">
        <f>C36</f>
        <v>12168360.817413449</v>
      </c>
    </row>
    <row r="17" spans="2:22" ht="14.25" customHeight="1" x14ac:dyDescent="0.2">
      <c r="B17" s="14" t="s">
        <v>76</v>
      </c>
      <c r="C17" s="15">
        <f>SUM(C15:C16)</f>
        <v>5200000</v>
      </c>
      <c r="H17" s="1" t="s">
        <v>77</v>
      </c>
      <c r="K17" s="6"/>
      <c r="L17" s="19" t="s">
        <v>78</v>
      </c>
      <c r="M17" s="37">
        <v>100000</v>
      </c>
      <c r="T17" s="28"/>
      <c r="U17" s="38">
        <f>U15/U16</f>
        <v>7.5570265968620362E-2</v>
      </c>
    </row>
    <row r="18" spans="2:22" ht="14.25" customHeight="1" x14ac:dyDescent="0.2">
      <c r="H18" s="1" t="s">
        <v>79</v>
      </c>
      <c r="I18" s="6">
        <v>600000</v>
      </c>
      <c r="K18" s="6"/>
      <c r="L18" s="19" t="s">
        <v>80</v>
      </c>
      <c r="M18" s="37">
        <v>60000</v>
      </c>
      <c r="S18" s="39"/>
      <c r="T18" s="27"/>
      <c r="U18" s="40"/>
      <c r="V18" s="39"/>
    </row>
    <row r="19" spans="2:22" ht="14.25" customHeight="1" x14ac:dyDescent="0.2">
      <c r="B19" s="41" t="s">
        <v>81</v>
      </c>
      <c r="C19" s="42">
        <f>C4+C12+C17</f>
        <v>12516360.817413449</v>
      </c>
      <c r="H19" s="14" t="s">
        <v>82</v>
      </c>
      <c r="I19" s="15">
        <f>SUM(I18)</f>
        <v>600000</v>
      </c>
      <c r="L19" s="19" t="s">
        <v>83</v>
      </c>
      <c r="M19" s="37">
        <v>9000</v>
      </c>
      <c r="S19" s="39"/>
      <c r="T19" s="39"/>
      <c r="U19" s="39"/>
      <c r="V19" s="39"/>
    </row>
    <row r="20" spans="2:22" ht="14.25" customHeight="1" x14ac:dyDescent="0.2">
      <c r="L20" s="19" t="s">
        <v>84</v>
      </c>
      <c r="M20" s="37">
        <v>916800</v>
      </c>
      <c r="T20" s="43" t="s">
        <v>85</v>
      </c>
      <c r="U20" s="44" t="s">
        <v>86</v>
      </c>
    </row>
    <row r="21" spans="2:22" ht="14.25" customHeight="1" x14ac:dyDescent="0.2">
      <c r="M21" s="45">
        <f>SUM(M17:M20)</f>
        <v>1085800</v>
      </c>
      <c r="T21" s="46" t="s">
        <v>87</v>
      </c>
      <c r="U21" s="47" t="s">
        <v>88</v>
      </c>
    </row>
    <row r="22" spans="2:22" ht="14.25" customHeight="1" x14ac:dyDescent="0.2">
      <c r="B22" s="1" t="s">
        <v>89</v>
      </c>
      <c r="H22" s="41" t="s">
        <v>90</v>
      </c>
      <c r="I22" s="42">
        <f>I9+I15+I19</f>
        <v>2520637.3737145285</v>
      </c>
      <c r="S22" s="17" t="s">
        <v>17</v>
      </c>
      <c r="T22" s="48" t="s">
        <v>91</v>
      </c>
      <c r="U22" s="48" t="s">
        <v>92</v>
      </c>
    </row>
    <row r="23" spans="2:22" ht="14.25" customHeight="1" x14ac:dyDescent="0.2">
      <c r="B23" s="1" t="s">
        <v>93</v>
      </c>
      <c r="T23" s="49" t="s">
        <v>94</v>
      </c>
      <c r="U23" s="50">
        <f>C30</f>
        <v>348000</v>
      </c>
    </row>
    <row r="24" spans="2:22" ht="14.25" customHeight="1" x14ac:dyDescent="0.2">
      <c r="B24" s="1" t="s">
        <v>95</v>
      </c>
      <c r="C24" s="6"/>
      <c r="H24" s="51" t="s">
        <v>96</v>
      </c>
      <c r="I24" s="52">
        <f>F8-I22</f>
        <v>72470.447901222389</v>
      </c>
      <c r="J24" s="53"/>
      <c r="T24" s="2" t="s">
        <v>39</v>
      </c>
      <c r="U24" s="21">
        <f>C19</f>
        <v>12516360.817413449</v>
      </c>
    </row>
    <row r="25" spans="2:22" ht="14.25" customHeight="1" x14ac:dyDescent="0.2">
      <c r="B25" s="14" t="s">
        <v>97</v>
      </c>
      <c r="C25" s="15">
        <f>SUM(C24)</f>
        <v>0</v>
      </c>
      <c r="H25" s="51" t="s">
        <v>98</v>
      </c>
      <c r="I25" s="52">
        <f>I24/12</f>
        <v>6039.2039917685324</v>
      </c>
      <c r="T25" s="28"/>
      <c r="U25" s="38">
        <f>U23/U24</f>
        <v>2.7803608818614694E-2</v>
      </c>
    </row>
    <row r="26" spans="2:22" ht="14.25" customHeight="1" x14ac:dyDescent="0.2">
      <c r="B26" s="1" t="s">
        <v>99</v>
      </c>
      <c r="T26" s="9" t="s">
        <v>100</v>
      </c>
      <c r="U26" s="30" t="s">
        <v>101</v>
      </c>
    </row>
    <row r="27" spans="2:22" ht="14.25" customHeight="1" x14ac:dyDescent="0.2">
      <c r="B27" s="68" t="s">
        <v>102</v>
      </c>
      <c r="C27" s="6">
        <f>'7_'!C27-'7_'!I6</f>
        <v>348000</v>
      </c>
      <c r="K27" s="6"/>
      <c r="S27" s="17" t="s">
        <v>17</v>
      </c>
      <c r="T27" s="18" t="s">
        <v>103</v>
      </c>
      <c r="U27" s="33" t="s">
        <v>104</v>
      </c>
    </row>
    <row r="28" spans="2:22" ht="14.25" customHeight="1" x14ac:dyDescent="0.2">
      <c r="B28" s="14" t="s">
        <v>105</v>
      </c>
      <c r="C28" s="15">
        <f>SUM(C27)</f>
        <v>348000</v>
      </c>
      <c r="T28" s="2" t="s">
        <v>106</v>
      </c>
      <c r="U28" s="21">
        <f>I6+C25</f>
        <v>348000</v>
      </c>
    </row>
    <row r="29" spans="2:22" ht="14.25" customHeight="1" x14ac:dyDescent="0.2">
      <c r="T29" s="2" t="s">
        <v>107</v>
      </c>
      <c r="U29" s="21">
        <f>F8</f>
        <v>2593107.8216157509</v>
      </c>
    </row>
    <row r="30" spans="2:22" ht="14.25" customHeight="1" x14ac:dyDescent="0.2">
      <c r="B30" s="41" t="s">
        <v>94</v>
      </c>
      <c r="C30" s="42">
        <f>C28+C25</f>
        <v>348000</v>
      </c>
      <c r="T30" s="28"/>
      <c r="U30" s="38">
        <f>U28/U29</f>
        <v>0.13420190132439735</v>
      </c>
    </row>
    <row r="31" spans="2:22" ht="14.25" customHeight="1" x14ac:dyDescent="0.2">
      <c r="T31" s="9" t="s">
        <v>109</v>
      </c>
      <c r="U31" s="30" t="s">
        <v>110</v>
      </c>
    </row>
    <row r="32" spans="2:22" ht="14.25" customHeight="1" x14ac:dyDescent="0.2">
      <c r="B32" s="1" t="s">
        <v>33</v>
      </c>
      <c r="S32" s="17" t="s">
        <v>17</v>
      </c>
      <c r="T32" s="18" t="s">
        <v>112</v>
      </c>
      <c r="U32" s="33" t="s">
        <v>113</v>
      </c>
    </row>
    <row r="33" spans="1:22" ht="14.25" customHeight="1" x14ac:dyDescent="0.2">
      <c r="B33" s="41" t="s">
        <v>39</v>
      </c>
      <c r="C33" s="42">
        <f>C19</f>
        <v>12516360.817413449</v>
      </c>
      <c r="T33" s="2" t="s">
        <v>115</v>
      </c>
      <c r="U33" s="21">
        <f>C24</f>
        <v>0</v>
      </c>
    </row>
    <row r="34" spans="1:22" ht="14.25" customHeight="1" x14ac:dyDescent="0.2">
      <c r="B34" s="41" t="s">
        <v>116</v>
      </c>
      <c r="C34" s="42">
        <f>C30</f>
        <v>348000</v>
      </c>
      <c r="T34" s="2" t="s">
        <v>107</v>
      </c>
      <c r="U34" s="21">
        <f>F8</f>
        <v>2593107.8216157509</v>
      </c>
    </row>
    <row r="35" spans="1:22" ht="14.25" customHeight="1" x14ac:dyDescent="0.2">
      <c r="T35" s="28"/>
      <c r="U35" s="38">
        <f>U33/U34</f>
        <v>0</v>
      </c>
    </row>
    <row r="36" spans="1:22" ht="14.25" customHeight="1" x14ac:dyDescent="0.2">
      <c r="B36" s="54" t="s">
        <v>119</v>
      </c>
      <c r="C36" s="55">
        <f>C33-C34</f>
        <v>12168360.817413449</v>
      </c>
      <c r="S36" s="39"/>
      <c r="T36" s="27"/>
      <c r="U36" s="40"/>
      <c r="V36" s="39"/>
    </row>
    <row r="37" spans="1:22" ht="14.25" customHeight="1" x14ac:dyDescent="0.2">
      <c r="S37" s="39"/>
      <c r="T37" s="39"/>
      <c r="U37" s="39"/>
      <c r="V37" s="39"/>
    </row>
    <row r="38" spans="1:22" ht="14.25" customHeight="1" x14ac:dyDescent="0.2">
      <c r="A38" s="1">
        <v>45</v>
      </c>
      <c r="G38" s="56"/>
      <c r="T38" s="2" t="s">
        <v>123</v>
      </c>
      <c r="U38" s="57" t="s">
        <v>124</v>
      </c>
    </row>
    <row r="39" spans="1:22" ht="14.25" customHeight="1" x14ac:dyDescent="0.2">
      <c r="A39" s="1" t="s">
        <v>125</v>
      </c>
      <c r="B39" s="1" t="s">
        <v>126</v>
      </c>
      <c r="C39" s="1" t="s">
        <v>127</v>
      </c>
      <c r="D39" s="7">
        <v>1000000</v>
      </c>
      <c r="E39" s="7">
        <v>33800</v>
      </c>
      <c r="G39" s="69">
        <f>E39+E46+E50</f>
        <v>42458</v>
      </c>
      <c r="T39" s="9" t="s">
        <v>129</v>
      </c>
      <c r="U39" s="10" t="s">
        <v>130</v>
      </c>
    </row>
    <row r="40" spans="1:22" ht="14.25" customHeight="1" x14ac:dyDescent="0.2">
      <c r="B40" s="27" t="s">
        <v>131</v>
      </c>
      <c r="D40" s="7">
        <v>1000000</v>
      </c>
      <c r="E40" s="7">
        <v>640</v>
      </c>
      <c r="G40" s="69">
        <f>+E40+E41+E42+E43+E44+E47+E48+E51</f>
        <v>139139</v>
      </c>
      <c r="H40" s="56"/>
      <c r="S40" s="17" t="s">
        <v>17</v>
      </c>
      <c r="T40" s="58" t="s">
        <v>132</v>
      </c>
      <c r="U40" s="33" t="s">
        <v>133</v>
      </c>
    </row>
    <row r="41" spans="1:22" ht="14.25" customHeight="1" x14ac:dyDescent="0.2">
      <c r="B41" s="1" t="s">
        <v>134</v>
      </c>
      <c r="E41" s="7">
        <v>27868</v>
      </c>
      <c r="H41" s="56"/>
      <c r="M41" s="1" t="s">
        <v>157</v>
      </c>
      <c r="T41" s="2" t="s">
        <v>136</v>
      </c>
      <c r="U41" s="21">
        <f>I7+I19</f>
        <v>688550.91831059067</v>
      </c>
    </row>
    <row r="42" spans="1:22" ht="14.25" customHeight="1" x14ac:dyDescent="0.2">
      <c r="B42" s="1" t="s">
        <v>137</v>
      </c>
      <c r="D42" s="7">
        <v>1000000</v>
      </c>
      <c r="E42" s="7">
        <v>7620</v>
      </c>
      <c r="H42" s="56"/>
      <c r="T42" s="2" t="s">
        <v>138</v>
      </c>
      <c r="U42" s="21">
        <f>F8</f>
        <v>2593107.8216157509</v>
      </c>
    </row>
    <row r="43" spans="1:22" ht="14.25" customHeight="1" x14ac:dyDescent="0.2">
      <c r="B43" s="59" t="s">
        <v>139</v>
      </c>
      <c r="D43" s="7"/>
      <c r="E43" s="7">
        <v>5743</v>
      </c>
      <c r="G43" s="60"/>
      <c r="H43" s="56"/>
      <c r="T43" s="28"/>
      <c r="U43" s="38">
        <f>U41/U42</f>
        <v>0.26553115631017549</v>
      </c>
    </row>
    <row r="44" spans="1:22" ht="14.25" customHeight="1" x14ac:dyDescent="0.2">
      <c r="B44" s="1" t="s">
        <v>140</v>
      </c>
      <c r="D44" s="7">
        <v>1000000</v>
      </c>
      <c r="E44" s="7">
        <v>10710</v>
      </c>
      <c r="G44" s="60"/>
      <c r="T44" s="9" t="s">
        <v>141</v>
      </c>
      <c r="U44" s="30" t="s">
        <v>142</v>
      </c>
    </row>
    <row r="45" spans="1:22" ht="14.25" customHeight="1" x14ac:dyDescent="0.2">
      <c r="A45" s="1">
        <v>44</v>
      </c>
      <c r="E45" s="61">
        <f>SUM(E39:E44)</f>
        <v>86381</v>
      </c>
      <c r="G45" s="60"/>
      <c r="H45" s="56"/>
      <c r="S45" s="17" t="s">
        <v>17</v>
      </c>
      <c r="T45" s="18" t="s">
        <v>143</v>
      </c>
      <c r="U45" s="33" t="s">
        <v>144</v>
      </c>
    </row>
    <row r="46" spans="1:22" ht="14.25" customHeight="1" x14ac:dyDescent="0.2">
      <c r="A46" s="1" t="s">
        <v>145</v>
      </c>
      <c r="B46" s="1" t="s">
        <v>126</v>
      </c>
      <c r="C46" s="1" t="s">
        <v>127</v>
      </c>
      <c r="D46" s="7">
        <v>200000</v>
      </c>
      <c r="E46" s="7">
        <v>5594</v>
      </c>
      <c r="G46" s="60"/>
      <c r="H46" s="56"/>
      <c r="T46" s="2" t="s">
        <v>146</v>
      </c>
      <c r="U46" s="21">
        <f>C12</f>
        <v>6396794.5540393759</v>
      </c>
    </row>
    <row r="47" spans="1:22" ht="14.25" customHeight="1" x14ac:dyDescent="0.2">
      <c r="B47" s="1" t="s">
        <v>134</v>
      </c>
      <c r="E47" s="7">
        <v>29981</v>
      </c>
      <c r="H47" s="56"/>
      <c r="T47" s="2" t="s">
        <v>33</v>
      </c>
      <c r="U47" s="21">
        <f>C36</f>
        <v>12168360.817413449</v>
      </c>
    </row>
    <row r="48" spans="1:22" ht="14.25" customHeight="1" x14ac:dyDescent="0.2">
      <c r="B48" s="59" t="s">
        <v>139</v>
      </c>
      <c r="E48" s="7">
        <v>6764</v>
      </c>
      <c r="H48" s="56"/>
      <c r="T48" s="28"/>
      <c r="U48" s="38">
        <f>U46/U47</f>
        <v>0.52569073600162208</v>
      </c>
    </row>
    <row r="49" spans="1:21" ht="14.25" customHeight="1" x14ac:dyDescent="0.2">
      <c r="A49" s="1">
        <v>16</v>
      </c>
      <c r="B49" s="62"/>
      <c r="E49" s="61">
        <f>SUM(E46:E48)</f>
        <v>42339</v>
      </c>
    </row>
    <row r="50" spans="1:21" ht="14.25" customHeight="1" x14ac:dyDescent="0.2">
      <c r="A50" s="1" t="s">
        <v>147</v>
      </c>
      <c r="B50" s="1" t="s">
        <v>126</v>
      </c>
      <c r="C50" s="1" t="s">
        <v>127</v>
      </c>
      <c r="D50" s="7">
        <v>200000</v>
      </c>
      <c r="E50" s="7">
        <v>3064</v>
      </c>
      <c r="H50" s="56"/>
    </row>
    <row r="51" spans="1:21" ht="14.25" customHeight="1" x14ac:dyDescent="0.2">
      <c r="B51" s="1" t="s">
        <v>148</v>
      </c>
      <c r="E51" s="7">
        <v>49813</v>
      </c>
      <c r="H51" s="56"/>
    </row>
    <row r="52" spans="1:21" ht="14.25" customHeight="1" x14ac:dyDescent="0.2">
      <c r="E52" s="61">
        <f>SUM(E50:E51)</f>
        <v>52877</v>
      </c>
      <c r="H52" s="56"/>
    </row>
    <row r="53" spans="1:21" ht="14.25" customHeight="1" x14ac:dyDescent="0.2">
      <c r="H53" s="56"/>
    </row>
    <row r="54" spans="1:21" ht="14.25" customHeight="1" x14ac:dyDescent="0.2">
      <c r="E54" s="25">
        <f>E45+E49+E52</f>
        <v>181597</v>
      </c>
      <c r="F54" s="6">
        <f>F8</f>
        <v>2593107.8216157509</v>
      </c>
      <c r="G54" s="32">
        <f>E54/F54</f>
        <v>7.0030639870133873E-2</v>
      </c>
      <c r="T54" s="9" t="s">
        <v>149</v>
      </c>
      <c r="U54" s="30" t="s">
        <v>150</v>
      </c>
    </row>
    <row r="55" spans="1:21" ht="14.25" customHeight="1" x14ac:dyDescent="0.2">
      <c r="G55" s="56"/>
      <c r="T55" s="2"/>
      <c r="U55" s="21" t="s">
        <v>151</v>
      </c>
    </row>
    <row r="56" spans="1:21" ht="14.25" customHeight="1" x14ac:dyDescent="0.2">
      <c r="B56" s="62"/>
      <c r="E56" s="7"/>
      <c r="F56" s="7"/>
      <c r="G56" s="32"/>
      <c r="H56" s="56"/>
      <c r="T56" s="2" t="s">
        <v>152</v>
      </c>
      <c r="U56" s="21">
        <f>I7+I18+I24</f>
        <v>761021.36621181306</v>
      </c>
    </row>
    <row r="57" spans="1:21" ht="14.25" customHeight="1" x14ac:dyDescent="0.2">
      <c r="G57" s="56"/>
      <c r="H57" s="56"/>
      <c r="T57" s="2" t="s">
        <v>138</v>
      </c>
      <c r="U57" s="21">
        <f>F8</f>
        <v>2593107.8216157509</v>
      </c>
    </row>
    <row r="58" spans="1:21" ht="14.25" customHeight="1" x14ac:dyDescent="0.2">
      <c r="B58" s="32"/>
      <c r="G58" s="56"/>
      <c r="H58" s="56"/>
      <c r="T58" s="28"/>
      <c r="U58" s="38">
        <f>U56/U57</f>
        <v>0.29347848935090748</v>
      </c>
    </row>
    <row r="59" spans="1:21" ht="14.25" customHeight="1" x14ac:dyDescent="0.2">
      <c r="G59" s="56"/>
      <c r="H59" s="56"/>
    </row>
    <row r="60" spans="1:21" ht="14.25" customHeight="1" x14ac:dyDescent="0.2"/>
    <row r="61" spans="1:21" ht="14.25" customHeight="1" x14ac:dyDescent="0.2"/>
    <row r="62" spans="1:21" ht="14.25" customHeight="1" x14ac:dyDescent="0.2"/>
    <row r="63" spans="1:21" ht="14.25" customHeight="1" x14ac:dyDescent="0.2"/>
    <row r="64" spans="1:2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6:M16"/>
  </mergeCells>
  <conditionalFormatting sqref="U7">
    <cfRule type="cellIs" dxfId="350" priority="1" operator="lessThan">
      <formula>1.01</formula>
    </cfRule>
    <cfRule type="cellIs" dxfId="349" priority="2" operator="greaterThan">
      <formula>1</formula>
    </cfRule>
  </conditionalFormatting>
  <conditionalFormatting sqref="U12">
    <cfRule type="cellIs" dxfId="348" priority="3" operator="greaterThan">
      <formula>12</formula>
    </cfRule>
    <cfRule type="cellIs" dxfId="347" priority="4" operator="lessThan">
      <formula>3</formula>
    </cfRule>
    <cfRule type="cellIs" dxfId="346" priority="5" operator="between">
      <formula>3</formula>
      <formula>12</formula>
    </cfRule>
  </conditionalFormatting>
  <conditionalFormatting sqref="U17">
    <cfRule type="cellIs" dxfId="345" priority="6" operator="equal">
      <formula>0.15</formula>
    </cfRule>
    <cfRule type="cellIs" dxfId="344" priority="7" operator="greaterThan">
      <formula>0.15</formula>
    </cfRule>
    <cfRule type="cellIs" dxfId="343" priority="8" operator="lessThan">
      <formula>0.15</formula>
    </cfRule>
  </conditionalFormatting>
  <conditionalFormatting sqref="U25">
    <cfRule type="cellIs" dxfId="342" priority="9" operator="greaterThan">
      <formula>0.499</formula>
    </cfRule>
    <cfRule type="cellIs" dxfId="341" priority="10" operator="lessThan">
      <formula>0.5</formula>
    </cfRule>
  </conditionalFormatting>
  <conditionalFormatting sqref="U30">
    <cfRule type="cellIs" dxfId="340" priority="11" operator="greaterThan">
      <formula>0.45</formula>
    </cfRule>
    <cfRule type="cellIs" dxfId="339" priority="12" operator="between">
      <formula>0.35</formula>
      <formula>0.45</formula>
    </cfRule>
    <cfRule type="cellIs" dxfId="338" priority="13" operator="lessThan">
      <formula>0.35</formula>
    </cfRule>
  </conditionalFormatting>
  <conditionalFormatting sqref="U35">
    <cfRule type="cellIs" dxfId="337" priority="14" operator="greaterThan">
      <formula>0.2</formula>
    </cfRule>
    <cfRule type="cellIs" dxfId="336" priority="15" operator="between">
      <formula>0.15</formula>
      <formula>0.2</formula>
    </cfRule>
    <cfRule type="cellIs" dxfId="335" priority="16" operator="lessThan">
      <formula>0.15</formula>
    </cfRule>
  </conditionalFormatting>
  <conditionalFormatting sqref="U43">
    <cfRule type="cellIs" dxfId="334" priority="17" operator="lessThan">
      <formula>0.101</formula>
    </cfRule>
    <cfRule type="cellIs" dxfId="333" priority="18" operator="greaterThan">
      <formula>0.1</formula>
    </cfRule>
  </conditionalFormatting>
  <conditionalFormatting sqref="U48">
    <cfRule type="cellIs" dxfId="332" priority="19" operator="lessThan">
      <formula>0.5</formula>
    </cfRule>
    <cfRule type="cellIs" dxfId="331" priority="20" operator="greaterThan">
      <formula>0.499</formula>
    </cfRule>
  </conditionalFormatting>
  <conditionalFormatting sqref="Y8">
    <cfRule type="cellIs" dxfId="330" priority="21" operator="lessThan">
      <formula>0.501</formula>
    </cfRule>
    <cfRule type="cellIs" dxfId="329" priority="22" operator="greaterThan">
      <formula>0.5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28</vt:i4>
      </vt:variant>
    </vt:vector>
  </HeadingPairs>
  <TitlesOfParts>
    <vt:vector size="28" baseType="lpstr">
      <vt:lpstr>CFP</vt:lpstr>
      <vt:lpstr>1_</vt:lpstr>
      <vt:lpstr>2_</vt:lpstr>
      <vt:lpstr>3_</vt:lpstr>
      <vt:lpstr>4_</vt:lpstr>
      <vt:lpstr>5_</vt:lpstr>
      <vt:lpstr>6_</vt:lpstr>
      <vt:lpstr>7_</vt:lpstr>
      <vt:lpstr>8_</vt:lpstr>
      <vt:lpstr>9_</vt:lpstr>
      <vt:lpstr>10_</vt:lpstr>
      <vt:lpstr>DATA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KASIDIS RATTANAWIJIT</cp:lastModifiedBy>
  <dcterms:modified xsi:type="dcterms:W3CDTF">2026-02-20T14:37:24Z</dcterms:modified>
</cp:coreProperties>
</file>